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VerticalScroll="0" showSheetTabs="0" xWindow="480" yWindow="105" windowWidth="19320" windowHeight="9975" activeTab="0"/>
  </bookViews>
  <sheets>
    <sheet name="Home" sheetId="1" r:id="rId1"/>
    <sheet name="KWA Fix" sheetId="2" r:id="rId2"/>
  </sheets>
  <definedNames>
    <definedName name="_xlnm.Print_Area" localSheetId="0">'Home'!$B$6:$W$27</definedName>
    <definedName name="_xlnm.Print_Area" localSheetId="1">'KWA Fix'!$B$2:$N$23</definedName>
  </definedNames>
  <calcPr fullCalcOnLoad="1"/>
</workbook>
</file>

<file path=xl/sharedStrings.xml><?xml version="1.0" encoding="utf-8"?>
<sst xmlns="http://schemas.openxmlformats.org/spreadsheetml/2006/main" count="367" uniqueCount="256">
  <si>
    <t>WWW.keralaservice.org</t>
  </si>
  <si>
    <t>1.</t>
  </si>
  <si>
    <t>Name of Employee</t>
  </si>
  <si>
    <t>:</t>
  </si>
  <si>
    <t>2.</t>
  </si>
  <si>
    <t>Designation (Present)</t>
  </si>
  <si>
    <t>3.</t>
  </si>
  <si>
    <t>Date of Birth</t>
  </si>
  <si>
    <t>4.</t>
  </si>
  <si>
    <t>Date of Entry in Service</t>
  </si>
  <si>
    <t>F. N.</t>
  </si>
  <si>
    <t>5.</t>
  </si>
  <si>
    <t>Non-qualifying service if any, in days</t>
  </si>
  <si>
    <t>days</t>
  </si>
  <si>
    <t>6.</t>
  </si>
  <si>
    <t>7.</t>
  </si>
  <si>
    <r>
      <t xml:space="preserve">Next Increment date </t>
    </r>
    <r>
      <rPr>
        <b/>
        <sz val="11"/>
        <rFont val="Arial"/>
        <family val="2"/>
      </rPr>
      <t>after 01/07/2009</t>
    </r>
  </si>
  <si>
    <t>8.</t>
  </si>
  <si>
    <t>Existing Scale of Pay</t>
  </si>
  <si>
    <t>9.</t>
  </si>
  <si>
    <t>Revised Scale of pay</t>
  </si>
  <si>
    <t>Existing Scale of Pay of Promoted Post</t>
  </si>
  <si>
    <t>Revised Scale of pay of Promoted Post</t>
  </si>
  <si>
    <t>OPTION COMPARISON TABLE</t>
  </si>
  <si>
    <t>3</t>
  </si>
  <si>
    <t>5</t>
  </si>
  <si>
    <t>Basic Pay as on 01/07/2009</t>
  </si>
  <si>
    <t>Date of Promotion/Grade</t>
  </si>
  <si>
    <t>Sl.No.</t>
  </si>
  <si>
    <t>11.</t>
  </si>
  <si>
    <t>12.</t>
  </si>
  <si>
    <t>13.</t>
  </si>
  <si>
    <t>14.</t>
  </si>
  <si>
    <t>Post</t>
  </si>
  <si>
    <t>15.</t>
  </si>
  <si>
    <t>16.</t>
  </si>
  <si>
    <t>Total</t>
  </si>
  <si>
    <t>4750-6870</t>
  </si>
  <si>
    <t>4880-7790</t>
  </si>
  <si>
    <t>5020-8610</t>
  </si>
  <si>
    <t>5300-9110</t>
  </si>
  <si>
    <t>5740-9610</t>
  </si>
  <si>
    <t>6210-10730</t>
  </si>
  <si>
    <t>6690-11070</t>
  </si>
  <si>
    <t>7600-12190</t>
  </si>
  <si>
    <t>8170-13030</t>
  </si>
  <si>
    <t>8610-13480</t>
  </si>
  <si>
    <t>9360-16180</t>
  </si>
  <si>
    <t>9610-16680</t>
  </si>
  <si>
    <t>11070-18680</t>
  </si>
  <si>
    <t>11410-20680</t>
  </si>
  <si>
    <t>12190-21230</t>
  </si>
  <si>
    <t>12580-21780</t>
  </si>
  <si>
    <t>13030-22330</t>
  </si>
  <si>
    <t>13930-22880</t>
  </si>
  <si>
    <t>16680-25630</t>
  </si>
  <si>
    <t>21230-30030</t>
  </si>
  <si>
    <t>23430-33380</t>
  </si>
  <si>
    <t>26780-34080</t>
  </si>
  <si>
    <t>27430-34780</t>
  </si>
  <si>
    <t>28080-35480</t>
  </si>
  <si>
    <t>28730-36180</t>
  </si>
  <si>
    <t>COMPARE FIXATION</t>
  </si>
  <si>
    <t>Designation as on 01/07/2009</t>
  </si>
  <si>
    <t>10.</t>
  </si>
  <si>
    <t>Choice of Option</t>
  </si>
  <si>
    <t xml:space="preserve">Completed Years </t>
  </si>
  <si>
    <t>Pay as on Option</t>
  </si>
  <si>
    <t>DA @ 64%</t>
  </si>
  <si>
    <t xml:space="preserve">Service Weightate @ 1/2 % </t>
  </si>
  <si>
    <t>Arrear up to 31/12/2011 (Aproximate)</t>
  </si>
  <si>
    <t xml:space="preserve">Name and Designation of the employee </t>
  </si>
  <si>
    <t>2. Date of Birth          :</t>
  </si>
  <si>
    <t>4. Non Qualifying Service if any (In Days)    :</t>
  </si>
  <si>
    <t>6. Next Increment Date                                  :</t>
  </si>
  <si>
    <t>Existing Scale of Promotion/ Grade</t>
  </si>
  <si>
    <t>Fitment @ 10%</t>
  </si>
  <si>
    <t xml:space="preserve">Date of Entry into Service    </t>
  </si>
  <si>
    <t>8950 - 14640</t>
  </si>
  <si>
    <t>9190 - 16640</t>
  </si>
  <si>
    <t>9430 - 18440</t>
  </si>
  <si>
    <t>9930 - 21440</t>
  </si>
  <si>
    <t>10470 - 26870</t>
  </si>
  <si>
    <t>11610 - 27570</t>
  </si>
  <si>
    <t>12210 - 28270</t>
  </si>
  <si>
    <t>13560 - 29670</t>
  </si>
  <si>
    <t>14280 - 30440</t>
  </si>
  <si>
    <t>15040 - 31210</t>
  </si>
  <si>
    <t>16240 - 32750</t>
  </si>
  <si>
    <t>16640 - 33590</t>
  </si>
  <si>
    <t>19440 - 34430</t>
  </si>
  <si>
    <t>19940 - 36110</t>
  </si>
  <si>
    <t>21440 - 38840</t>
  </si>
  <si>
    <t>22010 - 39750</t>
  </si>
  <si>
    <t>22580 - 40750</t>
  </si>
  <si>
    <t>24350 - 41750</t>
  </si>
  <si>
    <t>32750 - 44850</t>
  </si>
  <si>
    <t>37020 - 50450</t>
  </si>
  <si>
    <t>40750 - 54050</t>
  </si>
  <si>
    <t>44750 - 56650</t>
  </si>
  <si>
    <t>49250 - 57950</t>
  </si>
  <si>
    <t>50450 - 60650</t>
  </si>
  <si>
    <t>52850 - 63450</t>
  </si>
  <si>
    <t>Sri.</t>
  </si>
  <si>
    <t>Name of Office</t>
  </si>
  <si>
    <t>4750-130-4880-140-5440-150-5890-160-6690-180-6870</t>
  </si>
  <si>
    <t>4880-140-5440-150-5890-160-6690-180-7410-190-7790</t>
  </si>
  <si>
    <t>5020-140-5440-150-5890-160-6690-180-7410-190-8170-220-8610</t>
  </si>
  <si>
    <t>5300-140-5440-150-5890-160-6690-180-7410-190-8170-220-8610-250-9110</t>
  </si>
  <si>
    <t>5740-150-5890-160-6690-180-7410-190-8170-220-8610-250-9610</t>
  </si>
  <si>
    <t>6210-160-6690-180-7410-190-8170-220-8610-250-9860-290-10730</t>
  </si>
  <si>
    <t>6690-180-7410-190-8170-220-8610-250-9860-290-10730-340-11070</t>
  </si>
  <si>
    <t>7600-190-8170-220-8610-250-9860-290-10730-340-11410-390-12190</t>
  </si>
  <si>
    <t>8170-220-8610-250-9860-290-10730-340-11410-390-12580-450-13030</t>
  </si>
  <si>
    <t>8610-250-9860-290-10730-340-11410-390-12580-450-13480</t>
  </si>
  <si>
    <t>9360-250-9860-290-10730-340-11410-390-12580-450-16180</t>
  </si>
  <si>
    <t>9610-250-9860-290-10730-340-11410-390-12580-450-16180-500-16680</t>
  </si>
  <si>
    <t>11070-340-11410-390-12580-450-16180-500-18680</t>
  </si>
  <si>
    <t>11410-390-12580-450-16180-500-20680</t>
  </si>
  <si>
    <t>12190-390-12580-450-16180-500-20680-550-21230</t>
  </si>
  <si>
    <t>12580-450-16180-500-20680-550-21780</t>
  </si>
  <si>
    <t>13030-450-16180-500-20680-550-22330</t>
  </si>
  <si>
    <t>13930-450-16180-500-20680-550-22880</t>
  </si>
  <si>
    <t>16680-500-20680-550-25630</t>
  </si>
  <si>
    <t>21230-550-26180-600-26780-650-30030</t>
  </si>
  <si>
    <t>23430-550-26180-600-26780-650-31980-700-33380</t>
  </si>
  <si>
    <t>26780-650-31980-700-34080</t>
  </si>
  <si>
    <t>27430-650-31980-700-34780</t>
  </si>
  <si>
    <t>28080-650-31980-700-35480</t>
  </si>
  <si>
    <t>28730-650-31980-700-36180</t>
  </si>
  <si>
    <t>8950-240-9430-250-9930-270-11010-300-12210-330-13200-360-14640</t>
  </si>
  <si>
    <t>9190-240-9430-250-9930-270-11010-300-12210-330-13200-360-14640-400-16640</t>
  </si>
  <si>
    <t>9430-250-9930-270-11010-300-12210-330-13200-360-14640-400-16640-450-18440</t>
  </si>
  <si>
    <t>9930-270-11010-300-12210-330-13200-360-14640-400-16640-450-18440-500-21440</t>
  </si>
  <si>
    <t>10470-270-11010-300-12210-330-13200-360-14640-400-16640-450-18440-500-21440-570-23720-630-26870</t>
  </si>
  <si>
    <t>11610-300-12210-330-13200-360-14640-400-16640-450-18440-500-21440-570-23720-630-26870-700-27570</t>
  </si>
  <si>
    <t>12210-330-13200-360-14640-400-16640-450-18440-500-21440-570-23720-630-26870-700-28270</t>
  </si>
  <si>
    <t>13560-360-14640-400-16640-450-18440-500-21440-570-23720-630-26870-700-29670</t>
  </si>
  <si>
    <t>14280-360-14640-400-16640-450-18440-500-21440-570-23720-630-26870-700-29670-770-30440</t>
  </si>
  <si>
    <t>15040-400-16640-450-18440-500-21440-570-23720-630-26870-700-29670-770-31210</t>
  </si>
  <si>
    <t>16240-400-16640-450-18440-500-21440-570-23720-630-26870-700-29670-770-32750</t>
  </si>
  <si>
    <t>16640-450-18440-500-21440-570-23720-630-26870-700-29670-770-32750-840-33590</t>
  </si>
  <si>
    <t>19440-500-21440-570-23720-630-26870-700-29670-770-32750-840-34430</t>
  </si>
  <si>
    <t>19940-500-21440-570-23720-630-26870-700-29670-770-32750-840-36110</t>
  </si>
  <si>
    <t>21440-570-23720-630-26870-700-29670-770-32750-840-36110-910-38840</t>
  </si>
  <si>
    <t>22010-570-23720-630-26870-700-29670-770-32750-840-36110-910-39750</t>
  </si>
  <si>
    <t>22580-570-23720-630-26870-700-29670-770-32750-840-36110-910-39750-1000-40750</t>
  </si>
  <si>
    <t>24350-630-26870-700-29670-770-32750-840-36110-910-39750-1000-41750</t>
  </si>
  <si>
    <t>32750-840-36110-910-39750-1000-43750-1100-44850</t>
  </si>
  <si>
    <t>37020-910-39750-1000-43750-1100-49250-1200-50450</t>
  </si>
  <si>
    <t>40750-1000-43750-1100-49250-1200-54050</t>
  </si>
  <si>
    <t>44750-1100-49250-1200-54050-1300-56650</t>
  </si>
  <si>
    <t>49250-1200-54050-1300-57950</t>
  </si>
  <si>
    <t>50450-1200-54050-1300-59250-1400-60650</t>
  </si>
  <si>
    <t>52850-1200-54050-1300-59250-1400-63450</t>
  </si>
  <si>
    <t>pre</t>
  </si>
  <si>
    <t>Lower
Post</t>
  </si>
  <si>
    <t>OldPay</t>
  </si>
  <si>
    <t>NewPay</t>
  </si>
  <si>
    <t>NewPayNS</t>
  </si>
  <si>
    <t>Min of Inc. Stage</t>
  </si>
  <si>
    <t>Option</t>
  </si>
  <si>
    <t>Service</t>
  </si>
  <si>
    <t>DA 64%</t>
  </si>
  <si>
    <t>10% Fit.</t>
  </si>
  <si>
    <t>Weigh.</t>
  </si>
  <si>
    <t>Incremental Rate</t>
  </si>
  <si>
    <t>Min of NS</t>
  </si>
  <si>
    <t>Max of OS</t>
  </si>
  <si>
    <t>OS Inc Rate</t>
  </si>
  <si>
    <t>Max of NS</t>
  </si>
  <si>
    <t>New Scale Inc Rate</t>
  </si>
  <si>
    <t>NP+1Inc</t>
  </si>
  <si>
    <t>NP+2Inc</t>
  </si>
  <si>
    <t>NP+3Inc</t>
  </si>
  <si>
    <t>NP+4Inc</t>
  </si>
  <si>
    <t>NP+5Inc</t>
  </si>
  <si>
    <t>NP+6Inc</t>
  </si>
  <si>
    <t>NP+7Inc</t>
  </si>
  <si>
    <t>NP+8Inc</t>
  </si>
  <si>
    <t>Home</t>
  </si>
  <si>
    <t>Higher</t>
  </si>
  <si>
    <r>
      <t xml:space="preserve">Enter Data Below (Fill only in </t>
    </r>
    <r>
      <rPr>
        <sz val="14"/>
        <color indexed="13"/>
        <rFont val="Arial"/>
        <family val="2"/>
      </rPr>
      <t>Yellow</t>
    </r>
    <r>
      <rPr>
        <sz val="14"/>
        <color indexed="8"/>
        <rFont val="Arial"/>
        <family val="2"/>
      </rPr>
      <t xml:space="preserve"> shaded cell)</t>
    </r>
  </si>
  <si>
    <t xml:space="preserve">Station </t>
  </si>
  <si>
    <t>Kozhikode</t>
  </si>
  <si>
    <t>Basic pay  as on 01/07/2009</t>
  </si>
  <si>
    <t>Personal pay, if any</t>
  </si>
  <si>
    <t>Special pay, if any</t>
  </si>
  <si>
    <t>i)</t>
  </si>
  <si>
    <t>ii)</t>
  </si>
  <si>
    <t>iii)</t>
  </si>
  <si>
    <t>Date of Promotion /Grade</t>
  </si>
  <si>
    <t>Completed Years of Service</t>
  </si>
  <si>
    <t>Lower Post</t>
  </si>
  <si>
    <t>Higher Post</t>
  </si>
  <si>
    <t>Scale of Pay</t>
  </si>
  <si>
    <t>Pre-Revised Scale Short</t>
  </si>
  <si>
    <t>Revised Scale Short</t>
  </si>
  <si>
    <t>Personal Pay</t>
  </si>
  <si>
    <t>8. Special Pay</t>
  </si>
  <si>
    <t>10. Revised Scale of Pay               :</t>
  </si>
  <si>
    <t>13. Revised Scale of Pro/Grade      :</t>
  </si>
  <si>
    <t>P.P</t>
  </si>
  <si>
    <t>S.P</t>
  </si>
  <si>
    <t>Fill only in Case of Promotion (if any, after 01/07/2009)</t>
  </si>
  <si>
    <t>Pre-Revised Lower Scale</t>
  </si>
  <si>
    <t>Pre-Revised Higher Scale</t>
  </si>
  <si>
    <t>Revised Lower Scale</t>
  </si>
  <si>
    <t>Revised Higher Scale</t>
  </si>
  <si>
    <t>Inc</t>
  </si>
  <si>
    <t>B</t>
  </si>
  <si>
    <t>C</t>
  </si>
  <si>
    <t>Promotion/Grade</t>
  </si>
  <si>
    <t>Fixation</t>
  </si>
  <si>
    <t>Rules for fixation of promotion / Grade</t>
  </si>
  <si>
    <t>Lower Scale Max</t>
  </si>
  <si>
    <t>Pay as on</t>
  </si>
  <si>
    <t>Notional Incr.</t>
  </si>
  <si>
    <t>Higher scale Min.</t>
  </si>
  <si>
    <t>Higher Scale Max.</t>
  </si>
  <si>
    <t>Pay Fixed</t>
  </si>
  <si>
    <t>Next Incr.</t>
  </si>
  <si>
    <t>Fixation Comparison</t>
  </si>
  <si>
    <t>Option Date</t>
  </si>
  <si>
    <t>Completed Years</t>
  </si>
  <si>
    <t>Prev.Pay</t>
  </si>
  <si>
    <t>Fitment 10%</t>
  </si>
  <si>
    <t>Wightage</t>
  </si>
  <si>
    <t>Scale Maximum</t>
  </si>
  <si>
    <t>Scale Minimum</t>
  </si>
  <si>
    <t>Ist Increment</t>
  </si>
  <si>
    <t>2nd Increment</t>
  </si>
  <si>
    <t>3rd Increment</t>
  </si>
  <si>
    <t>Scale Max</t>
  </si>
  <si>
    <t>Best Option</t>
  </si>
  <si>
    <t>Visit:  www.keralaservice.org   email:reply@keralaservice.org</t>
  </si>
  <si>
    <t>Grade/Promotion</t>
  </si>
  <si>
    <t>Pay</t>
  </si>
  <si>
    <t>Lower Scale Min</t>
  </si>
  <si>
    <t>Notio Incre</t>
  </si>
  <si>
    <t>Higher Scale Max</t>
  </si>
  <si>
    <t>Higher Scale Min</t>
  </si>
  <si>
    <t>Increment</t>
  </si>
  <si>
    <t xml:space="preserve">KWA Option Finder                                                                                                                         </t>
  </si>
  <si>
    <r>
      <rPr>
        <b/>
        <sz val="12"/>
        <rFont val="Arial"/>
        <family val="2"/>
      </rPr>
      <t xml:space="preserve">(Find Best Option for Fixation of Pay in the Revised Scale as per GO(P)No.58/2012/Fin Dated 19/01/2012 and KWA/JB/E1/1354/12 Dated 21/3/2012) </t>
    </r>
  </si>
  <si>
    <r>
      <t>Prepared by</t>
    </r>
    <r>
      <rPr>
        <b/>
        <sz val="11"/>
        <rFont val="Arial"/>
        <family val="2"/>
      </rPr>
      <t xml:space="preserve"> Saffeeq.M.P, UD Clerk</t>
    </r>
    <r>
      <rPr>
        <sz val="11"/>
        <rFont val="Arial"/>
        <family val="2"/>
      </rPr>
      <t>, Distribution Sub Division No.II, Kerala Water Authority, Kozhikode-5.</t>
    </r>
  </si>
  <si>
    <r>
      <rPr>
        <b/>
        <sz val="10"/>
        <rFont val="Arial"/>
        <family val="2"/>
      </rPr>
      <t xml:space="preserve">  Courtesy: Sri.A.Chadrasekharan       (Find Best Option)   </t>
    </r>
    <r>
      <rPr>
        <sz val="10"/>
        <rFont val="Arial"/>
        <family val="2"/>
      </rPr>
      <t xml:space="preserve">                                                 </t>
    </r>
  </si>
  <si>
    <t>Option B</t>
  </si>
  <si>
    <r>
      <t xml:space="preserve">Revised as Pay on date of </t>
    </r>
    <r>
      <rPr>
        <b/>
        <sz val="10"/>
        <rFont val="Arial"/>
        <family val="2"/>
      </rPr>
      <t>OPTION</t>
    </r>
  </si>
  <si>
    <t xml:space="preserve"> Prepared by : Saffeeq.M.P, UDC, Distribution Sub Division No.II, KWA, Kozhikode-5, Ph:9446254545 (saffeeq@gmail.com)</t>
  </si>
  <si>
    <t>Distribution Sub Division No.2</t>
  </si>
  <si>
    <t>Compare Date</t>
  </si>
  <si>
    <t>Next Increment</t>
  </si>
  <si>
    <t>M.P.Saffeeq</t>
  </si>
  <si>
    <t>U.D.Clerk</t>
  </si>
  <si>
    <t>L.D.Clerk</t>
  </si>
</sst>
</file>

<file path=xl/styles.xml><?xml version="1.0" encoding="utf-8"?>
<styleSheet xmlns="http://schemas.openxmlformats.org/spreadsheetml/2006/main">
  <numFmts count="21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14009]dd/mm/yy;@"/>
    <numFmt numFmtId="173" formatCode="dd/mm/yy"/>
    <numFmt numFmtId="174" formatCode="_(&quot;Rs.&quot;* #,##0.00_);_(&quot;Rs.&quot;* \(#,##0.00\);_(&quot;Rs.&quot;* &quot;-&quot;??_);_(@_)"/>
    <numFmt numFmtId="175" formatCode="dd/mm/yyyy;@"/>
    <numFmt numFmtId="176" formatCode="m/d/yyyy;@"/>
  </numFmts>
  <fonts count="60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u val="single"/>
      <sz val="16"/>
      <color indexed="12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4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sz val="14"/>
      <color indexed="56"/>
      <name val="Arial"/>
      <family val="2"/>
    </font>
    <font>
      <sz val="12"/>
      <color indexed="8"/>
      <name val="Arial"/>
      <family val="2"/>
    </font>
    <font>
      <i/>
      <sz val="16"/>
      <name val="Monotype Corsiva"/>
      <family val="4"/>
    </font>
    <font>
      <b/>
      <sz val="14"/>
      <name val="Arial"/>
      <family val="2"/>
    </font>
    <font>
      <b/>
      <u val="single"/>
      <sz val="20"/>
      <color indexed="12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Book Antiqua"/>
      <family val="1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26"/>
      <color indexed="12"/>
      <name val="Arial"/>
      <family val="2"/>
    </font>
    <font>
      <b/>
      <sz val="10"/>
      <name val="Arial"/>
      <family val="2"/>
    </font>
    <font>
      <b/>
      <sz val="24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Arial Black"/>
      <family val="2"/>
    </font>
    <font>
      <sz val="8"/>
      <name val="Calibri"/>
      <family val="2"/>
    </font>
    <font>
      <sz val="14"/>
      <color indexed="13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12"/>
      <color indexed="17"/>
      <name val="Arial"/>
      <family val="2"/>
    </font>
    <font>
      <b/>
      <sz val="11"/>
      <color indexed="57"/>
      <name val="Arial"/>
      <family val="2"/>
    </font>
    <font>
      <sz val="11"/>
      <color indexed="53"/>
      <name val="Arial"/>
      <family val="2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sz val="22"/>
      <color indexed="12"/>
      <name val="Britannic Bold"/>
      <family val="2"/>
    </font>
    <font>
      <sz val="10"/>
      <color indexed="8"/>
      <name val="Arial Black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>
        <color indexed="12"/>
      </top>
      <bottom/>
    </border>
    <border>
      <left/>
      <right/>
      <top style="thin">
        <color indexed="12"/>
      </top>
      <bottom style="thin">
        <color indexed="12"/>
      </bottom>
    </border>
    <border>
      <left/>
      <right>
        <color indexed="63"/>
      </right>
      <top style="thin">
        <color indexed="12"/>
      </top>
      <bottom style="thin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>
        <color indexed="63"/>
      </right>
      <top style="thin"/>
      <bottom style="hair"/>
    </border>
    <border>
      <left/>
      <right>
        <color indexed="63"/>
      </right>
      <top>
        <color indexed="63"/>
      </top>
      <bottom style="hair"/>
    </border>
    <border>
      <left/>
      <right style="thin"/>
      <top style="hair"/>
      <bottom style="hair"/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/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>
        <color indexed="63"/>
      </right>
      <top style="thin"/>
      <bottom/>
    </border>
    <border>
      <left>
        <color indexed="63"/>
      </left>
      <right style="thin"/>
      <top style="hair"/>
      <bottom style="hair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39" fillId="20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4" fillId="0" borderId="0" xfId="62" applyFont="1" applyFill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14" fontId="8" fillId="0" borderId="10" xfId="61" applyNumberFormat="1" applyFont="1" applyFill="1" applyBorder="1" applyAlignment="1" applyProtection="1">
      <alignment horizontal="left" vertical="center" wrapText="1"/>
      <protection hidden="1"/>
    </xf>
    <xf numFmtId="0" fontId="4" fillId="0" borderId="0" xfId="62" applyFill="1" applyAlignment="1" applyProtection="1">
      <alignment vertical="center"/>
      <protection hidden="1"/>
    </xf>
    <xf numFmtId="0" fontId="4" fillId="12" borderId="0" xfId="0" applyFont="1" applyFill="1" applyAlignment="1" applyProtection="1">
      <alignment vertical="center" wrapText="1"/>
      <protection hidden="1"/>
    </xf>
    <xf numFmtId="0" fontId="4" fillId="12" borderId="0" xfId="0" applyFont="1" applyFill="1" applyAlignment="1" applyProtection="1">
      <alignment horizontal="left" vertical="center" wrapText="1"/>
      <protection hidden="1"/>
    </xf>
    <xf numFmtId="0" fontId="4" fillId="12" borderId="0" xfId="0" applyFont="1" applyFill="1" applyAlignment="1" applyProtection="1">
      <alignment horizontal="center" vertical="center" wrapText="1"/>
      <protection hidden="1"/>
    </xf>
    <xf numFmtId="0" fontId="8" fillId="0" borderId="10" xfId="59" applyFont="1" applyFill="1" applyBorder="1" applyAlignment="1" applyProtection="1">
      <alignment horizontal="center" vertical="center" wrapText="1"/>
      <protection hidden="1"/>
    </xf>
    <xf numFmtId="1" fontId="8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0" fillId="16" borderId="0" xfId="0" applyFill="1" applyAlignment="1">
      <alignment/>
    </xf>
    <xf numFmtId="0" fontId="0" fillId="16" borderId="0" xfId="0" applyFill="1" applyBorder="1" applyAlignment="1">
      <alignment/>
    </xf>
    <xf numFmtId="0" fontId="4" fillId="0" borderId="0" xfId="62" applyFont="1" applyFill="1" applyAlignment="1" applyProtection="1">
      <alignment vertical="center"/>
      <protection hidden="1"/>
    </xf>
    <xf numFmtId="0" fontId="18" fillId="0" borderId="10" xfId="0" applyFont="1" applyFill="1" applyBorder="1" applyAlignment="1" applyProtection="1">
      <alignment vertical="center"/>
      <protection hidden="1"/>
    </xf>
    <xf numFmtId="14" fontId="8" fillId="0" borderId="10" xfId="61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Alignment="1">
      <alignment/>
    </xf>
    <xf numFmtId="0" fontId="11" fillId="0" borderId="0" xfId="0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172" fontId="8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1" fontId="8" fillId="0" borderId="0" xfId="0" applyNumberFormat="1" applyFont="1" applyAlignment="1" applyProtection="1">
      <alignment horizontal="center" vertical="center"/>
      <protection hidden="1"/>
    </xf>
    <xf numFmtId="172" fontId="18" fillId="0" borderId="0" xfId="0" applyNumberFormat="1" applyFont="1" applyFill="1" applyAlignment="1" applyProtection="1">
      <alignment vertical="center"/>
      <protection hidden="1"/>
    </xf>
    <xf numFmtId="14" fontId="0" fillId="0" borderId="0" xfId="0" applyNumberForma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1" fontId="13" fillId="0" borderId="11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horizontal="center" vertical="center"/>
      <protection hidden="1"/>
    </xf>
    <xf numFmtId="172" fontId="13" fillId="0" borderId="0" xfId="0" applyNumberFormat="1" applyFont="1" applyFill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left" vertical="center" wrapText="1"/>
      <protection hidden="1"/>
    </xf>
    <xf numFmtId="172" fontId="13" fillId="0" borderId="0" xfId="0" applyNumberFormat="1" applyFont="1" applyFill="1" applyAlignment="1" applyProtection="1">
      <alignment horizontal="center" vertical="center"/>
      <protection hidden="1"/>
    </xf>
    <xf numFmtId="173" fontId="13" fillId="0" borderId="0" xfId="0" applyNumberFormat="1" applyFont="1" applyFill="1" applyAlignment="1" applyProtection="1">
      <alignment horizontal="center" vertical="center"/>
      <protection hidden="1"/>
    </xf>
    <xf numFmtId="172" fontId="21" fillId="0" borderId="0" xfId="0" applyNumberFormat="1" applyFont="1" applyAlignment="1" applyProtection="1">
      <alignment horizontal="center" vertical="center" wrapText="1"/>
      <protection hidden="1"/>
    </xf>
    <xf numFmtId="172" fontId="13" fillId="0" borderId="0" xfId="0" applyNumberFormat="1" applyFont="1" applyFill="1" applyAlignment="1" applyProtection="1">
      <alignment horizontal="center" vertical="center" wrapText="1"/>
      <protection hidden="1"/>
    </xf>
    <xf numFmtId="1" fontId="13" fillId="0" borderId="0" xfId="0" applyNumberFormat="1" applyFont="1" applyFill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1" fontId="21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horizontal="center" vertical="center" wrapText="1"/>
      <protection hidden="1"/>
    </xf>
    <xf numFmtId="1" fontId="20" fillId="0" borderId="0" xfId="0" applyNumberFormat="1" applyFont="1" applyAlignment="1" applyProtection="1">
      <alignment horizontal="center" vertical="center" wrapText="1"/>
      <protection hidden="1"/>
    </xf>
    <xf numFmtId="1" fontId="22" fillId="0" borderId="0" xfId="0" applyNumberFormat="1" applyFont="1" applyAlignment="1" applyProtection="1">
      <alignment horizontal="center" vertical="center" wrapText="1"/>
      <protection hidden="1"/>
    </xf>
    <xf numFmtId="0" fontId="13" fillId="24" borderId="0" xfId="0" applyFont="1" applyFill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1" fontId="21" fillId="0" borderId="0" xfId="0" applyNumberFormat="1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vertical="center"/>
      <protection hidden="1"/>
    </xf>
    <xf numFmtId="1" fontId="13" fillId="0" borderId="0" xfId="0" applyNumberFormat="1" applyFont="1" applyFill="1" applyAlignment="1" applyProtection="1">
      <alignment vertical="center"/>
      <protection hidden="1"/>
    </xf>
    <xf numFmtId="0" fontId="0" fillId="0" borderId="11" xfId="0" applyFill="1" applyBorder="1" applyAlignment="1" applyProtection="1">
      <alignment vertical="center"/>
      <protection hidden="1"/>
    </xf>
    <xf numFmtId="14" fontId="13" fillId="0" borderId="0" xfId="0" applyNumberFormat="1" applyFont="1" applyFill="1" applyAlignment="1" applyProtection="1">
      <alignment vertical="center"/>
      <protection hidden="1"/>
    </xf>
    <xf numFmtId="172" fontId="13" fillId="0" borderId="0" xfId="0" applyNumberFormat="1" applyFont="1" applyFill="1" applyBorder="1" applyAlignment="1" applyProtection="1">
      <alignment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0" fillId="24" borderId="0" xfId="0" applyFill="1" applyAlignment="1" applyProtection="1">
      <alignment vertical="center"/>
      <protection hidden="1"/>
    </xf>
    <xf numFmtId="0" fontId="0" fillId="0" borderId="0" xfId="0" applyAlignment="1">
      <alignment horizontal="center"/>
    </xf>
    <xf numFmtId="1" fontId="11" fillId="25" borderId="0" xfId="61" applyNumberFormat="1" applyFont="1" applyFill="1" applyBorder="1" applyAlignment="1" applyProtection="1">
      <alignment horizontal="center" vertical="center" wrapText="1"/>
      <protection hidden="1"/>
    </xf>
    <xf numFmtId="0" fontId="0" fillId="25" borderId="0" xfId="0" applyFill="1" applyAlignment="1">
      <alignment/>
    </xf>
    <xf numFmtId="0" fontId="18" fillId="25" borderId="0" xfId="0" applyFont="1" applyFill="1" applyBorder="1" applyAlignment="1">
      <alignment horizontal="center" vertical="center"/>
    </xf>
    <xf numFmtId="0" fontId="8" fillId="25" borderId="0" xfId="59" applyFont="1" applyFill="1" applyBorder="1" applyAlignment="1" applyProtection="1">
      <alignment horizontal="center" vertical="center" wrapText="1"/>
      <protection hidden="1"/>
    </xf>
    <xf numFmtId="0" fontId="0" fillId="25" borderId="0" xfId="0" applyFill="1" applyBorder="1" applyAlignment="1">
      <alignment/>
    </xf>
    <xf numFmtId="0" fontId="18" fillId="25" borderId="0" xfId="58" applyFont="1" applyFill="1" applyBorder="1" applyAlignment="1" applyProtection="1">
      <alignment vertical="center" wrapText="1"/>
      <protection hidden="1"/>
    </xf>
    <xf numFmtId="0" fontId="14" fillId="16" borderId="0" xfId="58" applyNumberFormat="1" applyFont="1" applyFill="1" applyBorder="1" applyAlignment="1" applyProtection="1">
      <alignment vertical="center" wrapText="1"/>
      <protection hidden="1"/>
    </xf>
    <xf numFmtId="0" fontId="0" fillId="23" borderId="12" xfId="0" applyFill="1" applyBorder="1" applyAlignment="1" applyProtection="1">
      <alignment/>
      <protection/>
    </xf>
    <xf numFmtId="0" fontId="8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quotePrefix="1">
      <alignment/>
    </xf>
    <xf numFmtId="0" fontId="11" fillId="25" borderId="13" xfId="0" applyFont="1" applyFill="1" applyBorder="1" applyAlignment="1" applyProtection="1">
      <alignment horizontal="center" vertical="center" wrapText="1"/>
      <protection hidden="1"/>
    </xf>
    <xf numFmtId="0" fontId="11" fillId="25" borderId="13" xfId="0" applyFont="1" applyFill="1" applyBorder="1" applyAlignment="1" applyProtection="1">
      <alignment vertical="center" wrapText="1"/>
      <protection/>
    </xf>
    <xf numFmtId="0" fontId="11" fillId="25" borderId="13" xfId="0" applyFont="1" applyFill="1" applyBorder="1" applyAlignment="1" applyProtection="1">
      <alignment horizontal="left" vertical="center" wrapText="1"/>
      <protection hidden="1"/>
    </xf>
    <xf numFmtId="0" fontId="11" fillId="25" borderId="12" xfId="0" applyFont="1" applyFill="1" applyBorder="1" applyAlignment="1" applyProtection="1">
      <alignment horizontal="center" vertical="center" wrapText="1"/>
      <protection hidden="1"/>
    </xf>
    <xf numFmtId="0" fontId="8" fillId="25" borderId="13" xfId="0" applyFont="1" applyFill="1" applyBorder="1" applyAlignment="1" applyProtection="1">
      <alignment horizontal="left" vertical="center" wrapText="1"/>
      <protection hidden="1"/>
    </xf>
    <xf numFmtId="49" fontId="8" fillId="25" borderId="13" xfId="0" applyNumberFormat="1" applyFont="1" applyFill="1" applyBorder="1" applyAlignment="1" applyProtection="1">
      <alignment horizontal="center" vertical="center" wrapText="1"/>
      <protection hidden="1"/>
    </xf>
    <xf numFmtId="0" fontId="8" fillId="25" borderId="14" xfId="0" applyFont="1" applyFill="1" applyBorder="1" applyAlignment="1" applyProtection="1">
      <alignment vertical="center" wrapText="1"/>
      <protection hidden="1"/>
    </xf>
    <xf numFmtId="0" fontId="48" fillId="0" borderId="0" xfId="0" applyFont="1" applyFill="1" applyAlignment="1" applyProtection="1">
      <alignment horizontal="center" vertical="center"/>
      <protection hidden="1"/>
    </xf>
    <xf numFmtId="172" fontId="18" fillId="0" borderId="0" xfId="0" applyNumberFormat="1" applyFont="1" applyAlignment="1">
      <alignment horizontal="center"/>
    </xf>
    <xf numFmtId="0" fontId="18" fillId="0" borderId="10" xfId="0" applyFont="1" applyFill="1" applyBorder="1" applyAlignment="1" applyProtection="1">
      <alignment horizontal="center" vertical="center"/>
      <protection hidden="1"/>
    </xf>
    <xf numFmtId="0" fontId="18" fillId="0" borderId="10" xfId="0" applyNumberFormat="1" applyFont="1" applyFill="1" applyBorder="1" applyAlignment="1" applyProtection="1">
      <alignment vertical="center"/>
      <protection hidden="1"/>
    </xf>
    <xf numFmtId="0" fontId="41" fillId="0" borderId="0" xfId="0" applyFont="1" applyFill="1" applyAlignment="1">
      <alignment vertical="center" textRotation="90"/>
    </xf>
    <xf numFmtId="0" fontId="24" fillId="0" borderId="15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0" fontId="24" fillId="24" borderId="16" xfId="62" applyFont="1" applyFill="1" applyBorder="1" applyAlignment="1" applyProtection="1">
      <alignment horizontal="center" vertical="center"/>
      <protection hidden="1"/>
    </xf>
    <xf numFmtId="0" fontId="41" fillId="0" borderId="0" xfId="0" applyFont="1" applyFill="1" applyAlignment="1">
      <alignment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1" fillId="0" borderId="16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0" fillId="24" borderId="16" xfId="0" applyFill="1" applyBorder="1" applyAlignment="1">
      <alignment horizontal="center"/>
    </xf>
    <xf numFmtId="172" fontId="13" fillId="0" borderId="0" xfId="0" applyNumberFormat="1" applyFont="1" applyFill="1" applyBorder="1" applyAlignment="1" applyProtection="1">
      <alignment vertical="center"/>
      <protection hidden="1"/>
    </xf>
    <xf numFmtId="0" fontId="45" fillId="0" borderId="0" xfId="0" applyFont="1" applyFill="1" applyAlignment="1">
      <alignment vertical="center" wrapText="1"/>
    </xf>
    <xf numFmtId="0" fontId="25" fillId="0" borderId="0" xfId="54" applyFont="1" applyFill="1" applyBorder="1" applyAlignment="1" applyProtection="1">
      <alignment horizontal="center"/>
      <protection/>
    </xf>
    <xf numFmtId="0" fontId="43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Border="1" applyAlignment="1" applyProtection="1">
      <alignment/>
      <protection locked="0"/>
    </xf>
    <xf numFmtId="0" fontId="13" fillId="0" borderId="0" xfId="0" applyFont="1" applyFill="1" applyBorder="1" applyAlignment="1">
      <alignment vertical="center" wrapText="1"/>
    </xf>
    <xf numFmtId="172" fontId="11" fillId="0" borderId="0" xfId="0" applyNumberFormat="1" applyFont="1" applyFill="1" applyAlignment="1" applyProtection="1">
      <alignment horizontal="center" vertical="center"/>
      <protection hidden="1"/>
    </xf>
    <xf numFmtId="172" fontId="50" fillId="0" borderId="0" xfId="0" applyNumberFormat="1" applyFont="1" applyFill="1" applyAlignment="1" applyProtection="1">
      <alignment horizontal="center" vertical="center" wrapText="1"/>
      <protection hidden="1"/>
    </xf>
    <xf numFmtId="172" fontId="50" fillId="0" borderId="0" xfId="0" applyNumberFormat="1" applyFont="1" applyAlignment="1" applyProtection="1">
      <alignment horizontal="center" vertical="center" wrapText="1"/>
      <protection hidden="1"/>
    </xf>
    <xf numFmtId="172" fontId="18" fillId="0" borderId="0" xfId="0" applyNumberFormat="1" applyFont="1" applyAlignment="1">
      <alignment/>
    </xf>
    <xf numFmtId="172" fontId="51" fillId="0" borderId="0" xfId="0" applyNumberFormat="1" applyFont="1" applyAlignment="1">
      <alignment/>
    </xf>
    <xf numFmtId="172" fontId="52" fillId="0" borderId="0" xfId="0" applyNumberFormat="1" applyFont="1" applyAlignment="1">
      <alignment horizontal="center"/>
    </xf>
    <xf numFmtId="0" fontId="13" fillId="24" borderId="0" xfId="0" applyFont="1" applyFill="1" applyAlignment="1" applyProtection="1">
      <alignment vertical="center"/>
      <protection hidden="1"/>
    </xf>
    <xf numFmtId="0" fontId="13" fillId="26" borderId="0" xfId="0" applyFont="1" applyFill="1" applyAlignment="1" applyProtection="1">
      <alignment horizontal="center" vertical="center"/>
      <protection hidden="1"/>
    </xf>
    <xf numFmtId="0" fontId="13" fillId="26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horizontal="center" vertical="center" wrapText="1"/>
      <protection hidden="1"/>
    </xf>
    <xf numFmtId="172" fontId="11" fillId="0" borderId="0" xfId="0" applyNumberFormat="1" applyFont="1" applyAlignment="1" applyProtection="1">
      <alignment horizontal="center" vertical="center" wrapText="1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1" fontId="50" fillId="0" borderId="0" xfId="0" applyNumberFormat="1" applyFont="1" applyFill="1" applyAlignment="1" applyProtection="1">
      <alignment horizontal="center" vertical="center"/>
      <protection hidden="1"/>
    </xf>
    <xf numFmtId="1" fontId="6" fillId="0" borderId="0" xfId="0" applyNumberFormat="1" applyFont="1" applyFill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 vertical="center" wrapText="1"/>
      <protection hidden="1"/>
    </xf>
    <xf numFmtId="1" fontId="6" fillId="0" borderId="0" xfId="0" applyNumberFormat="1" applyFont="1" applyAlignment="1" applyProtection="1">
      <alignment horizontal="center" vertical="center" wrapText="1"/>
      <protection hidden="1"/>
    </xf>
    <xf numFmtId="0" fontId="13" fillId="0" borderId="0" xfId="0" applyFont="1" applyAlignment="1">
      <alignment horizontal="center" vertical="center"/>
    </xf>
    <xf numFmtId="1" fontId="9" fillId="0" borderId="0" xfId="0" applyNumberFormat="1" applyFont="1" applyAlignment="1" applyProtection="1">
      <alignment horizontal="center" vertical="center" wrapText="1"/>
      <protection hidden="1"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41" fillId="0" borderId="0" xfId="0" applyNumberFormat="1" applyFont="1" applyAlignment="1">
      <alignment horizontal="center"/>
    </xf>
    <xf numFmtId="0" fontId="0" fillId="24" borderId="0" xfId="0" applyFill="1" applyAlignment="1">
      <alignment horizontal="center"/>
    </xf>
    <xf numFmtId="0" fontId="4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0" fillId="26" borderId="0" xfId="0" applyFill="1" applyAlignment="1">
      <alignment/>
    </xf>
    <xf numFmtId="0" fontId="54" fillId="0" borderId="0" xfId="0" applyFont="1" applyAlignment="1" applyProtection="1">
      <alignment horizontal="center" vertical="center" wrapText="1"/>
      <protection hidden="1"/>
    </xf>
    <xf numFmtId="0" fontId="0" fillId="4" borderId="0" xfId="0" applyFill="1" applyAlignment="1">
      <alignment/>
    </xf>
    <xf numFmtId="0" fontId="4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textRotation="90" wrapText="1"/>
    </xf>
    <xf numFmtId="172" fontId="18" fillId="0" borderId="0" xfId="0" applyNumberFormat="1" applyFont="1" applyFill="1" applyBorder="1" applyAlignment="1" applyProtection="1">
      <alignment vertical="center"/>
      <protection hidden="1"/>
    </xf>
    <xf numFmtId="172" fontId="8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14" fontId="0" fillId="0" borderId="0" xfId="0" applyNumberFormat="1" applyFill="1" applyBorder="1" applyAlignment="1">
      <alignment/>
    </xf>
    <xf numFmtId="14" fontId="18" fillId="0" borderId="10" xfId="0" applyNumberFormat="1" applyFont="1" applyFill="1" applyBorder="1" applyAlignment="1" applyProtection="1">
      <alignment horizontal="left" vertical="center"/>
      <protection hidden="1"/>
    </xf>
    <xf numFmtId="1" fontId="4" fillId="25" borderId="0" xfId="61" applyNumberFormat="1" applyFont="1" applyFill="1" applyBorder="1" applyAlignment="1" applyProtection="1">
      <alignment horizontal="center" vertical="center" wrapText="1"/>
      <protection hidden="1"/>
    </xf>
    <xf numFmtId="49" fontId="4" fillId="25" borderId="11" xfId="58" applyNumberFormat="1" applyFont="1" applyFill="1" applyBorder="1" applyAlignment="1" applyProtection="1">
      <alignment horizontal="center" vertical="center" textRotation="90" wrapText="1"/>
      <protection hidden="1"/>
    </xf>
    <xf numFmtId="0" fontId="4" fillId="25" borderId="17" xfId="59" applyFont="1" applyFill="1" applyBorder="1" applyAlignment="1" applyProtection="1">
      <alignment horizontal="center" vertical="center" textRotation="90" wrapText="1"/>
      <protection hidden="1"/>
    </xf>
    <xf numFmtId="14" fontId="4" fillId="25" borderId="11" xfId="61" applyNumberFormat="1" applyFont="1" applyFill="1" applyBorder="1" applyAlignment="1" applyProtection="1">
      <alignment horizontal="center" vertical="center" textRotation="90" wrapText="1"/>
      <protection hidden="1"/>
    </xf>
    <xf numFmtId="14" fontId="4" fillId="25" borderId="17" xfId="61" applyNumberFormat="1" applyFont="1" applyFill="1" applyBorder="1" applyAlignment="1" applyProtection="1">
      <alignment horizontal="center" vertical="center" textRotation="90" wrapText="1"/>
      <protection hidden="1"/>
    </xf>
    <xf numFmtId="14" fontId="4" fillId="25" borderId="18" xfId="61" applyNumberFormat="1" applyFont="1" applyFill="1" applyBorder="1" applyAlignment="1" applyProtection="1">
      <alignment horizontal="center" vertical="center" textRotation="90" wrapText="1"/>
      <protection hidden="1"/>
    </xf>
    <xf numFmtId="0" fontId="4" fillId="25" borderId="19" xfId="58" applyNumberFormat="1" applyFont="1" applyFill="1" applyBorder="1" applyAlignment="1" applyProtection="1">
      <alignment horizontal="center" vertical="center" wrapText="1"/>
      <protection hidden="1"/>
    </xf>
    <xf numFmtId="0" fontId="4" fillId="25" borderId="20" xfId="58" applyNumberFormat="1" applyFont="1" applyFill="1" applyBorder="1" applyAlignment="1" applyProtection="1">
      <alignment horizontal="center" vertical="center" wrapText="1"/>
      <protection hidden="1"/>
    </xf>
    <xf numFmtId="0" fontId="4" fillId="25" borderId="21" xfId="58" applyNumberFormat="1" applyFont="1" applyFill="1" applyBorder="1" applyAlignment="1" applyProtection="1">
      <alignment horizontal="center" vertical="center" wrapText="1"/>
      <protection hidden="1"/>
    </xf>
    <xf numFmtId="0" fontId="4" fillId="25" borderId="22" xfId="58" applyNumberFormat="1" applyFont="1" applyFill="1" applyBorder="1" applyAlignment="1" applyProtection="1">
      <alignment horizontal="center" vertical="center" wrapText="1"/>
      <protection hidden="1"/>
    </xf>
    <xf numFmtId="0" fontId="4" fillId="25" borderId="0" xfId="58" applyNumberFormat="1" applyFont="1" applyFill="1" applyBorder="1" applyAlignment="1" applyProtection="1">
      <alignment horizontal="center" vertical="center" wrapText="1"/>
      <protection hidden="1"/>
    </xf>
    <xf numFmtId="1" fontId="4" fillId="25" borderId="21" xfId="61" applyNumberFormat="1" applyFont="1" applyFill="1" applyBorder="1" applyAlignment="1" applyProtection="1">
      <alignment horizontal="center" vertical="center" wrapText="1"/>
      <protection hidden="1"/>
    </xf>
    <xf numFmtId="1" fontId="4" fillId="25" borderId="20" xfId="61" applyNumberFormat="1" applyFont="1" applyFill="1" applyBorder="1" applyAlignment="1" applyProtection="1">
      <alignment horizontal="center" vertical="center" wrapText="1"/>
      <protection hidden="1"/>
    </xf>
    <xf numFmtId="1" fontId="4" fillId="25" borderId="23" xfId="61" applyNumberFormat="1" applyFont="1" applyFill="1" applyBorder="1" applyAlignment="1" applyProtection="1">
      <alignment horizontal="center" vertical="center" wrapText="1"/>
      <protection hidden="1"/>
    </xf>
    <xf numFmtId="1" fontId="4" fillId="25" borderId="19" xfId="61" applyNumberFormat="1" applyFont="1" applyFill="1" applyBorder="1" applyAlignment="1" applyProtection="1">
      <alignment horizontal="center" vertical="center" wrapText="1"/>
      <protection hidden="1"/>
    </xf>
    <xf numFmtId="1" fontId="4" fillId="25" borderId="24" xfId="61" applyNumberFormat="1" applyFont="1" applyFill="1" applyBorder="1" applyAlignment="1" applyProtection="1">
      <alignment horizontal="center" vertical="center" wrapText="1"/>
      <protection hidden="1"/>
    </xf>
    <xf numFmtId="1" fontId="4" fillId="25" borderId="25" xfId="61" applyNumberFormat="1" applyFont="1" applyFill="1" applyBorder="1" applyAlignment="1" applyProtection="1">
      <alignment horizontal="center" vertical="center" wrapText="1"/>
      <protection hidden="1"/>
    </xf>
    <xf numFmtId="1" fontId="4" fillId="25" borderId="22" xfId="61" applyNumberFormat="1" applyFont="1" applyFill="1" applyBorder="1" applyAlignment="1" applyProtection="1">
      <alignment horizontal="center" vertical="center" wrapText="1"/>
      <protection hidden="1"/>
    </xf>
    <xf numFmtId="1" fontId="4" fillId="25" borderId="19" xfId="61" applyNumberFormat="1" applyFont="1" applyFill="1" applyBorder="1" applyAlignment="1" applyProtection="1">
      <alignment horizontal="center" vertical="center" wrapText="1"/>
      <protection hidden="1"/>
    </xf>
    <xf numFmtId="172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/>
    </xf>
    <xf numFmtId="17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1" fontId="41" fillId="0" borderId="0" xfId="0" applyNumberFormat="1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8" fillId="0" borderId="0" xfId="0" applyFont="1" applyFill="1" applyAlignment="1" applyProtection="1">
      <alignment horizontal="center" vertical="center" wrapText="1"/>
      <protection hidden="1"/>
    </xf>
    <xf numFmtId="0" fontId="54" fillId="0" borderId="0" xfId="0" applyFont="1" applyFill="1" applyAlignment="1" applyProtection="1">
      <alignment horizontal="center" vertical="center" wrapText="1"/>
      <protection hidden="1"/>
    </xf>
    <xf numFmtId="0" fontId="53" fillId="0" borderId="0" xfId="0" applyFont="1" applyFill="1" applyAlignment="1">
      <alignment/>
    </xf>
    <xf numFmtId="172" fontId="53" fillId="0" borderId="0" xfId="0" applyNumberFormat="1" applyFont="1" applyFill="1" applyAlignment="1">
      <alignment/>
    </xf>
    <xf numFmtId="0" fontId="53" fillId="0" borderId="0" xfId="0" applyFont="1" applyAlignment="1">
      <alignment/>
    </xf>
    <xf numFmtId="0" fontId="41" fillId="0" borderId="0" xfId="0" applyFont="1" applyFill="1" applyAlignment="1">
      <alignment/>
    </xf>
    <xf numFmtId="1" fontId="4" fillId="25" borderId="26" xfId="61" applyNumberFormat="1" applyFont="1" applyFill="1" applyBorder="1" applyAlignment="1" applyProtection="1">
      <alignment horizontal="center" vertical="center" wrapText="1"/>
      <protection hidden="1"/>
    </xf>
    <xf numFmtId="1" fontId="4" fillId="25" borderId="27" xfId="61" applyNumberFormat="1" applyFont="1" applyFill="1" applyBorder="1" applyAlignment="1" applyProtection="1">
      <alignment horizontal="center" vertical="center" wrapText="1"/>
      <protection hidden="1"/>
    </xf>
    <xf numFmtId="1" fontId="4" fillId="25" borderId="28" xfId="61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1" fontId="13" fillId="0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Fill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172" fontId="13" fillId="0" borderId="0" xfId="0" applyNumberFormat="1" applyFont="1" applyFill="1" applyBorder="1" applyAlignment="1" applyProtection="1">
      <alignment horizontal="center" vertical="center"/>
      <protection hidden="1"/>
    </xf>
    <xf numFmtId="172" fontId="17" fillId="0" borderId="0" xfId="0" applyNumberFormat="1" applyFont="1" applyFill="1" applyBorder="1" applyAlignment="1" applyProtection="1">
      <alignment vertical="center"/>
      <protection hidden="1"/>
    </xf>
    <xf numFmtId="14" fontId="0" fillId="0" borderId="0" xfId="0" applyNumberFormat="1" applyFill="1" applyBorder="1" applyAlignment="1" applyProtection="1">
      <alignment vertical="center"/>
      <protection hidden="1"/>
    </xf>
    <xf numFmtId="172" fontId="0" fillId="0" borderId="0" xfId="0" applyNumberForma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1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172" fontId="11" fillId="0" borderId="0" xfId="0" applyNumberFormat="1" applyFont="1" applyBorder="1" applyAlignment="1" applyProtection="1">
      <alignment horizontal="center" vertical="center"/>
      <protection hidden="1"/>
    </xf>
    <xf numFmtId="1" fontId="20" fillId="0" borderId="0" xfId="0" applyNumberFormat="1" applyFont="1" applyFill="1" applyBorder="1" applyAlignment="1" applyProtection="1">
      <alignment horizontal="center" vertical="center"/>
      <protection hidden="1"/>
    </xf>
    <xf numFmtId="1" fontId="1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Border="1" applyAlignment="1" applyProtection="1">
      <alignment horizontal="center" vertical="center" wrapText="1"/>
      <protection hidden="1"/>
    </xf>
    <xf numFmtId="1" fontId="21" fillId="0" borderId="0" xfId="0" applyNumberFormat="1" applyFont="1" applyBorder="1" applyAlignment="1" applyProtection="1">
      <alignment horizontal="center" vertical="center" wrapText="1"/>
      <protection hidden="1"/>
    </xf>
    <xf numFmtId="1" fontId="22" fillId="0" borderId="0" xfId="0" applyNumberFormat="1" applyFont="1" applyBorder="1" applyAlignment="1" applyProtection="1">
      <alignment horizontal="center" vertical="center" wrapText="1"/>
      <protection hidden="1"/>
    </xf>
    <xf numFmtId="1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172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172" fontId="13" fillId="0" borderId="0" xfId="0" applyNumberFormat="1" applyFont="1" applyFill="1" applyBorder="1" applyAlignment="1" applyProtection="1">
      <alignment horizontal="center" vertical="center"/>
      <protection hidden="1"/>
    </xf>
    <xf numFmtId="172" fontId="13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1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53" fillId="24" borderId="0" xfId="0" applyFont="1" applyFill="1" applyAlignment="1">
      <alignment/>
    </xf>
    <xf numFmtId="0" fontId="42" fillId="0" borderId="29" xfId="0" applyFont="1" applyFill="1" applyBorder="1" applyAlignment="1">
      <alignment/>
    </xf>
    <xf numFmtId="172" fontId="42" fillId="0" borderId="30" xfId="0" applyNumberFormat="1" applyFont="1" applyFill="1" applyBorder="1" applyAlignment="1">
      <alignment/>
    </xf>
    <xf numFmtId="0" fontId="0" fillId="22" borderId="0" xfId="0" applyFill="1" applyAlignment="1">
      <alignment/>
    </xf>
    <xf numFmtId="0" fontId="41" fillId="0" borderId="0" xfId="0" applyFont="1" applyAlignment="1">
      <alignment/>
    </xf>
    <xf numFmtId="0" fontId="0" fillId="10" borderId="0" xfId="0" applyFill="1" applyAlignment="1">
      <alignment/>
    </xf>
    <xf numFmtId="14" fontId="0" fillId="0" borderId="0" xfId="0" applyNumberFormat="1" applyAlignment="1">
      <alignment/>
    </xf>
    <xf numFmtId="0" fontId="0" fillId="24" borderId="0" xfId="0" applyFill="1" applyAlignment="1">
      <alignment/>
    </xf>
    <xf numFmtId="0" fontId="55" fillId="25" borderId="31" xfId="0" applyFont="1" applyFill="1" applyBorder="1" applyAlignment="1" applyProtection="1">
      <alignment horizontal="center" vertical="center" textRotation="90"/>
      <protection hidden="1"/>
    </xf>
    <xf numFmtId="0" fontId="55" fillId="25" borderId="32" xfId="0" applyFont="1" applyFill="1" applyBorder="1" applyAlignment="1" applyProtection="1">
      <alignment horizontal="center" vertical="center" textRotation="90" wrapText="1"/>
      <protection hidden="1"/>
    </xf>
    <xf numFmtId="0" fontId="18" fillId="25" borderId="33" xfId="0" applyFont="1" applyFill="1" applyBorder="1" applyAlignment="1" applyProtection="1">
      <alignment horizontal="center" vertical="center"/>
      <protection hidden="1"/>
    </xf>
    <xf numFmtId="14" fontId="55" fillId="25" borderId="19" xfId="0" applyNumberFormat="1" applyFont="1" applyFill="1" applyBorder="1" applyAlignment="1" applyProtection="1">
      <alignment horizontal="center" vertical="center"/>
      <protection hidden="1"/>
    </xf>
    <xf numFmtId="0" fontId="18" fillId="25" borderId="34" xfId="0" applyFont="1" applyFill="1" applyBorder="1" applyAlignment="1" applyProtection="1">
      <alignment horizontal="center" vertical="center"/>
      <protection hidden="1"/>
    </xf>
    <xf numFmtId="14" fontId="55" fillId="25" borderId="20" xfId="0" applyNumberFormat="1" applyFont="1" applyFill="1" applyBorder="1" applyAlignment="1" applyProtection="1">
      <alignment horizontal="center" vertical="center"/>
      <protection hidden="1"/>
    </xf>
    <xf numFmtId="0" fontId="18" fillId="25" borderId="0" xfId="0" applyFont="1" applyFill="1" applyBorder="1" applyAlignment="1" applyProtection="1">
      <alignment horizontal="center" vertical="center"/>
      <protection hidden="1"/>
    </xf>
    <xf numFmtId="0" fontId="18" fillId="25" borderId="35" xfId="0" applyFont="1" applyFill="1" applyBorder="1" applyAlignment="1" applyProtection="1">
      <alignment horizontal="center" vertical="center"/>
      <protection hidden="1"/>
    </xf>
    <xf numFmtId="14" fontId="55" fillId="25" borderId="22" xfId="0" applyNumberFormat="1" applyFont="1" applyFill="1" applyBorder="1" applyAlignment="1" applyProtection="1">
      <alignment horizontal="center" vertical="center"/>
      <protection hidden="1"/>
    </xf>
    <xf numFmtId="14" fontId="24" fillId="25" borderId="11" xfId="61" applyNumberFormat="1" applyFont="1" applyFill="1" applyBorder="1" applyAlignment="1" applyProtection="1">
      <alignment horizontal="center" vertical="center" textRotation="90" wrapText="1"/>
      <protection hidden="1"/>
    </xf>
    <xf numFmtId="0" fontId="0" fillId="4" borderId="0" xfId="0" applyFill="1" applyAlignment="1">
      <alignment horizontal="center"/>
    </xf>
    <xf numFmtId="172" fontId="55" fillId="0" borderId="0" xfId="0" applyNumberFormat="1" applyFont="1" applyFill="1" applyAlignment="1">
      <alignment vertical="center" wrapText="1"/>
    </xf>
    <xf numFmtId="14" fontId="59" fillId="0" borderId="0" xfId="0" applyNumberFormat="1" applyFont="1" applyFill="1" applyAlignment="1">
      <alignment vertical="center" wrapText="1"/>
    </xf>
    <xf numFmtId="0" fontId="11" fillId="22" borderId="14" xfId="0" applyFont="1" applyFill="1" applyBorder="1" applyAlignment="1" applyProtection="1">
      <alignment horizontal="left" vertical="center" wrapText="1"/>
      <protection locked="0"/>
    </xf>
    <xf numFmtId="0" fontId="11" fillId="22" borderId="36" xfId="0" applyFont="1" applyFill="1" applyBorder="1" applyAlignment="1" applyProtection="1">
      <alignment horizontal="left" vertical="center" wrapText="1"/>
      <protection locked="0"/>
    </xf>
    <xf numFmtId="49" fontId="11" fillId="22" borderId="36" xfId="0" applyNumberFormat="1" applyFont="1" applyFill="1" applyBorder="1" applyAlignment="1" applyProtection="1">
      <alignment horizontal="left" vertical="center" wrapText="1"/>
      <protection locked="0"/>
    </xf>
    <xf numFmtId="49" fontId="11" fillId="22" borderId="37" xfId="0" applyNumberFormat="1" applyFont="1" applyFill="1" applyBorder="1" applyAlignment="1" applyProtection="1">
      <alignment horizontal="left" vertical="center" wrapText="1"/>
      <protection locked="0"/>
    </xf>
    <xf numFmtId="49" fontId="11" fillId="22" borderId="14" xfId="0" applyNumberFormat="1" applyFont="1" applyFill="1" applyBorder="1" applyAlignment="1" applyProtection="1">
      <alignment horizontal="left" vertical="center" wrapText="1"/>
      <protection locked="0"/>
    </xf>
    <xf numFmtId="0" fontId="44" fillId="21" borderId="0" xfId="0" applyFont="1" applyFill="1" applyAlignment="1" applyProtection="1">
      <alignment horizontal="center" vertical="center" wrapText="1"/>
      <protection hidden="1"/>
    </xf>
    <xf numFmtId="0" fontId="8" fillId="25" borderId="13" xfId="0" applyFont="1" applyFill="1" applyBorder="1" applyAlignment="1" applyProtection="1">
      <alignment horizontal="left" vertical="center" wrapText="1"/>
      <protection hidden="1"/>
    </xf>
    <xf numFmtId="49" fontId="11" fillId="22" borderId="13" xfId="0" applyNumberFormat="1" applyFont="1" applyFill="1" applyBorder="1" applyAlignment="1" applyProtection="1">
      <alignment horizontal="left" vertical="center" wrapText="1"/>
      <protection locked="0"/>
    </xf>
    <xf numFmtId="0" fontId="11" fillId="22" borderId="13" xfId="0" applyFont="1" applyFill="1" applyBorder="1" applyAlignment="1" applyProtection="1">
      <alignment horizontal="left" vertical="center" wrapText="1"/>
      <protection locked="0"/>
    </xf>
    <xf numFmtId="49" fontId="8" fillId="25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23" borderId="0" xfId="54" applyFont="1" applyFill="1" applyAlignment="1" applyProtection="1">
      <alignment horizontal="center" vertical="center" wrapText="1"/>
      <protection hidden="1"/>
    </xf>
    <xf numFmtId="0" fontId="3" fillId="23" borderId="0" xfId="0" applyFont="1" applyFill="1" applyAlignment="1" applyProtection="1">
      <alignment horizontal="center" vertical="center" wrapText="1"/>
      <protection hidden="1"/>
    </xf>
    <xf numFmtId="0" fontId="4" fillId="23" borderId="0" xfId="0" applyFont="1" applyFill="1" applyAlignment="1" applyProtection="1">
      <alignment horizontal="center" vertical="center" wrapText="1"/>
      <protection hidden="1"/>
    </xf>
    <xf numFmtId="0" fontId="8" fillId="27" borderId="29" xfId="0" applyFont="1" applyFill="1" applyBorder="1" applyAlignment="1" applyProtection="1">
      <alignment horizontal="left" vertical="center" wrapText="1"/>
      <protection hidden="1"/>
    </xf>
    <xf numFmtId="0" fontId="0" fillId="0" borderId="38" xfId="0" applyFont="1" applyBorder="1" applyAlignment="1">
      <alignment/>
    </xf>
    <xf numFmtId="0" fontId="4" fillId="27" borderId="38" xfId="0" applyFont="1" applyFill="1" applyBorder="1" applyAlignment="1" applyProtection="1">
      <alignment horizontal="left" vertical="center" wrapText="1"/>
      <protection hidden="1"/>
    </xf>
    <xf numFmtId="0" fontId="0" fillId="0" borderId="38" xfId="0" applyBorder="1" applyAlignment="1">
      <alignment/>
    </xf>
    <xf numFmtId="0" fontId="0" fillId="0" borderId="30" xfId="0" applyBorder="1" applyAlignment="1">
      <alignment/>
    </xf>
    <xf numFmtId="0" fontId="58" fillId="23" borderId="0" xfId="54" applyFont="1" applyFill="1" applyAlignment="1" applyProtection="1">
      <alignment horizontal="center" vertical="center" wrapText="1"/>
      <protection hidden="1"/>
    </xf>
    <xf numFmtId="0" fontId="10" fillId="12" borderId="0" xfId="0" applyFont="1" applyFill="1" applyAlignment="1" applyProtection="1">
      <alignment horizontal="left" vertical="center" wrapText="1"/>
      <protection hidden="1"/>
    </xf>
    <xf numFmtId="0" fontId="7" fillId="12" borderId="0" xfId="0" applyFont="1" applyFill="1" applyAlignment="1" applyProtection="1">
      <alignment horizontal="left" vertical="center" wrapText="1"/>
      <protection hidden="1"/>
    </xf>
    <xf numFmtId="14" fontId="11" fillId="22" borderId="13" xfId="0" applyNumberFormat="1" applyFont="1" applyFill="1" applyBorder="1" applyAlignment="1" applyProtection="1">
      <alignment horizontal="left" vertical="center" wrapText="1"/>
      <protection locked="0"/>
    </xf>
    <xf numFmtId="49" fontId="8" fillId="25" borderId="14" xfId="0" applyNumberFormat="1" applyFont="1" applyFill="1" applyBorder="1" applyAlignment="1" applyProtection="1">
      <alignment horizontal="center" vertical="center" wrapText="1"/>
      <protection hidden="1"/>
    </xf>
    <xf numFmtId="49" fontId="8" fillId="25" borderId="37" xfId="0" applyNumberFormat="1" applyFont="1" applyFill="1" applyBorder="1" applyAlignment="1" applyProtection="1">
      <alignment horizontal="center" vertical="center" wrapText="1"/>
      <protection hidden="1"/>
    </xf>
    <xf numFmtId="0" fontId="8" fillId="25" borderId="14" xfId="0" applyFont="1" applyFill="1" applyBorder="1" applyAlignment="1" applyProtection="1">
      <alignment horizontal="left" vertical="center" wrapText="1"/>
      <protection hidden="1"/>
    </xf>
    <xf numFmtId="0" fontId="8" fillId="25" borderId="36" xfId="0" applyFont="1" applyFill="1" applyBorder="1" applyAlignment="1" applyProtection="1">
      <alignment horizontal="left" vertical="center" wrapText="1"/>
      <protection hidden="1"/>
    </xf>
    <xf numFmtId="0" fontId="8" fillId="25" borderId="37" xfId="0" applyFont="1" applyFill="1" applyBorder="1" applyAlignment="1" applyProtection="1">
      <alignment horizontal="left" vertical="center" wrapText="1"/>
      <protection hidden="1"/>
    </xf>
    <xf numFmtId="0" fontId="11" fillId="22" borderId="37" xfId="0" applyFont="1" applyFill="1" applyBorder="1" applyAlignment="1" applyProtection="1">
      <alignment horizontal="left" vertical="center" wrapText="1"/>
      <protection locked="0"/>
    </xf>
    <xf numFmtId="49" fontId="8" fillId="25" borderId="13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16" fillId="26" borderId="39" xfId="54" applyFont="1" applyFill="1" applyBorder="1" applyAlignment="1" applyProtection="1">
      <alignment horizontal="center" wrapText="1"/>
      <protection/>
    </xf>
    <xf numFmtId="0" fontId="16" fillId="26" borderId="40" xfId="54" applyFont="1" applyFill="1" applyBorder="1" applyAlignment="1" applyProtection="1">
      <alignment horizontal="center" wrapText="1"/>
      <protection/>
    </xf>
    <xf numFmtId="0" fontId="16" fillId="26" borderId="41" xfId="54" applyFont="1" applyFill="1" applyBorder="1" applyAlignment="1" applyProtection="1">
      <alignment horizontal="center" wrapText="1"/>
      <protection/>
    </xf>
    <xf numFmtId="0" fontId="8" fillId="25" borderId="12" xfId="0" applyFont="1" applyFill="1" applyBorder="1" applyAlignment="1" applyProtection="1">
      <alignment horizontal="left" vertical="center" wrapText="1"/>
      <protection hidden="1"/>
    </xf>
    <xf numFmtId="0" fontId="11" fillId="22" borderId="12" xfId="0" applyFont="1" applyFill="1" applyBorder="1" applyAlignment="1" applyProtection="1">
      <alignment horizontal="left" vertical="center" wrapText="1"/>
      <protection locked="0"/>
    </xf>
    <xf numFmtId="0" fontId="11" fillId="22" borderId="13" xfId="0" applyFont="1" applyFill="1" applyBorder="1" applyAlignment="1" applyProtection="1">
      <alignment horizontal="center" vertical="center" wrapText="1"/>
      <protection locked="0"/>
    </xf>
    <xf numFmtId="0" fontId="5" fillId="12" borderId="0" xfId="0" applyFont="1" applyFill="1" applyBorder="1" applyAlignment="1" applyProtection="1">
      <alignment horizontal="center" vertical="center" wrapText="1"/>
      <protection hidden="1"/>
    </xf>
    <xf numFmtId="0" fontId="7" fillId="12" borderId="0" xfId="0" applyFont="1" applyFill="1" applyBorder="1" applyAlignment="1" applyProtection="1">
      <alignment horizontal="center" vertical="center" wrapText="1"/>
      <protection hidden="1"/>
    </xf>
    <xf numFmtId="0" fontId="12" fillId="20" borderId="0" xfId="0" applyFont="1" applyFill="1" applyAlignment="1" applyProtection="1">
      <alignment horizontal="center" vertical="center" wrapText="1"/>
      <protection hidden="1"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7" borderId="0" xfId="0" applyFill="1" applyAlignment="1">
      <alignment horizontal="center"/>
    </xf>
    <xf numFmtId="0" fontId="0" fillId="0" borderId="0" xfId="0" applyAlignment="1">
      <alignment horizontal="left"/>
    </xf>
    <xf numFmtId="0" fontId="0" fillId="2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24" borderId="0" xfId="0" applyFill="1" applyAlignment="1">
      <alignment horizontal="center"/>
    </xf>
    <xf numFmtId="0" fontId="0" fillId="26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7" borderId="42" xfId="0" applyFill="1" applyBorder="1" applyAlignment="1">
      <alignment horizontal="center"/>
    </xf>
    <xf numFmtId="0" fontId="41" fillId="11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0" fillId="22" borderId="16" xfId="0" applyFill="1" applyBorder="1" applyAlignment="1">
      <alignment horizontal="left" vertical="center" wrapText="1"/>
    </xf>
    <xf numFmtId="0" fontId="0" fillId="22" borderId="45" xfId="0" applyFill="1" applyBorder="1" applyAlignment="1">
      <alignment horizontal="left" vertical="center" wrapText="1"/>
    </xf>
    <xf numFmtId="0" fontId="0" fillId="22" borderId="0" xfId="0" applyFill="1" applyBorder="1" applyAlignment="1">
      <alignment horizontal="left" vertical="center" wrapText="1"/>
    </xf>
    <xf numFmtId="0" fontId="0" fillId="22" borderId="46" xfId="0" applyFill="1" applyBorder="1" applyAlignment="1">
      <alignment horizontal="left" vertical="center" wrapText="1"/>
    </xf>
    <xf numFmtId="0" fontId="0" fillId="22" borderId="42" xfId="0" applyFill="1" applyBorder="1" applyAlignment="1">
      <alignment horizontal="left" vertical="center" wrapText="1"/>
    </xf>
    <xf numFmtId="0" fontId="0" fillId="22" borderId="47" xfId="0" applyFill="1" applyBorder="1" applyAlignment="1">
      <alignment horizontal="left" vertical="center" wrapText="1"/>
    </xf>
    <xf numFmtId="0" fontId="0" fillId="0" borderId="0" xfId="0" applyFill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28" borderId="0" xfId="0" applyFill="1" applyAlignment="1">
      <alignment horizontal="center"/>
    </xf>
    <xf numFmtId="0" fontId="15" fillId="0" borderId="48" xfId="58" applyFont="1" applyFill="1" applyBorder="1" applyAlignment="1" applyProtection="1">
      <alignment horizontal="center" vertical="center" wrapText="1"/>
      <protection hidden="1"/>
    </xf>
    <xf numFmtId="0" fontId="8" fillId="0" borderId="10" xfId="59" applyFont="1" applyFill="1" applyBorder="1" applyAlignment="1" applyProtection="1">
      <alignment horizontal="left" vertical="center" wrapText="1"/>
      <protection hidden="1"/>
    </xf>
    <xf numFmtId="0" fontId="18" fillId="0" borderId="10" xfId="0" applyFont="1" applyFill="1" applyBorder="1" applyAlignment="1" applyProtection="1">
      <alignment horizontal="left" vertical="center"/>
      <protection hidden="1"/>
    </xf>
    <xf numFmtId="0" fontId="8" fillId="0" borderId="10" xfId="61" applyFont="1" applyFill="1" applyBorder="1" applyAlignment="1" applyProtection="1">
      <alignment horizontal="left" vertical="center" wrapText="1"/>
      <protection hidden="1"/>
    </xf>
    <xf numFmtId="0" fontId="56" fillId="0" borderId="49" xfId="58" applyFont="1" applyFill="1" applyBorder="1" applyAlignment="1" applyProtection="1">
      <alignment horizontal="center" vertical="center" wrapText="1"/>
      <protection hidden="1"/>
    </xf>
    <xf numFmtId="0" fontId="56" fillId="0" borderId="50" xfId="58" applyFont="1" applyFill="1" applyBorder="1" applyAlignment="1" applyProtection="1">
      <alignment horizontal="center" vertical="center" wrapText="1"/>
      <protection hidden="1"/>
    </xf>
    <xf numFmtId="0" fontId="11" fillId="25" borderId="0" xfId="58" applyFont="1" applyFill="1" applyBorder="1" applyAlignment="1" applyProtection="1">
      <alignment horizontal="center" vertical="center" wrapText="1"/>
      <protection hidden="1"/>
    </xf>
    <xf numFmtId="14" fontId="23" fillId="22" borderId="39" xfId="54" applyNumberFormat="1" applyFont="1" applyFill="1" applyBorder="1" applyAlignment="1" applyProtection="1">
      <alignment horizontal="center" vertical="center"/>
      <protection/>
    </xf>
    <xf numFmtId="14" fontId="23" fillId="22" borderId="41" xfId="54" applyNumberFormat="1" applyFont="1" applyFill="1" applyBorder="1" applyAlignment="1" applyProtection="1">
      <alignment horizontal="center" vertical="center"/>
      <protection/>
    </xf>
    <xf numFmtId="0" fontId="4" fillId="25" borderId="20" xfId="60" applyFont="1" applyFill="1" applyBorder="1" applyAlignment="1" applyProtection="1">
      <alignment horizontal="center" vertical="center" wrapText="1"/>
      <protection hidden="1"/>
    </xf>
    <xf numFmtId="0" fontId="4" fillId="25" borderId="23" xfId="60" applyFont="1" applyFill="1" applyBorder="1" applyAlignment="1" applyProtection="1">
      <alignment horizontal="center" vertical="center" wrapText="1"/>
      <protection hidden="1"/>
    </xf>
    <xf numFmtId="0" fontId="4" fillId="25" borderId="51" xfId="60" applyFont="1" applyFill="1" applyBorder="1" applyAlignment="1" applyProtection="1">
      <alignment horizontal="center" vertical="center" wrapText="1"/>
      <protection hidden="1"/>
    </xf>
    <xf numFmtId="14" fontId="8" fillId="0" borderId="10" xfId="61" applyNumberFormat="1" applyFont="1" applyFill="1" applyBorder="1" applyAlignment="1" applyProtection="1">
      <alignment horizontal="left" vertical="center" wrapText="1"/>
      <protection hidden="1"/>
    </xf>
    <xf numFmtId="0" fontId="4" fillId="25" borderId="18" xfId="60" applyFont="1" applyFill="1" applyBorder="1" applyAlignment="1" applyProtection="1">
      <alignment horizontal="center" vertical="center" textRotation="90" wrapText="1"/>
      <protection hidden="1"/>
    </xf>
    <xf numFmtId="0" fontId="4" fillId="25" borderId="52" xfId="60" applyFont="1" applyFill="1" applyBorder="1" applyAlignment="1" applyProtection="1">
      <alignment horizontal="center" vertical="center" textRotation="90" wrapText="1"/>
      <protection hidden="1"/>
    </xf>
    <xf numFmtId="0" fontId="57" fillId="25" borderId="53" xfId="0" applyFont="1" applyFill="1" applyBorder="1" applyAlignment="1" applyProtection="1">
      <alignment horizontal="center" vertical="center" wrapText="1"/>
      <protection hidden="1"/>
    </xf>
    <xf numFmtId="0" fontId="57" fillId="25" borderId="54" xfId="0" applyFont="1" applyFill="1" applyBorder="1" applyAlignment="1" applyProtection="1">
      <alignment horizontal="center" vertical="center" wrapText="1"/>
      <protection hidden="1"/>
    </xf>
    <xf numFmtId="0" fontId="4" fillId="25" borderId="19" xfId="60" applyFont="1" applyFill="1" applyBorder="1" applyAlignment="1" applyProtection="1">
      <alignment horizontal="center" vertical="center" wrapText="1"/>
      <protection hidden="1"/>
    </xf>
    <xf numFmtId="0" fontId="4" fillId="25" borderId="55" xfId="60" applyFont="1" applyFill="1" applyBorder="1" applyAlignment="1" applyProtection="1">
      <alignment horizontal="center" vertical="center" wrapText="1"/>
      <protection hidden="1"/>
    </xf>
    <xf numFmtId="0" fontId="18" fillId="0" borderId="53" xfId="0" applyFont="1" applyFill="1" applyBorder="1" applyAlignment="1" applyProtection="1">
      <alignment horizontal="left" vertical="center"/>
      <protection hidden="1"/>
    </xf>
    <xf numFmtId="0" fontId="18" fillId="0" borderId="54" xfId="0" applyFont="1" applyFill="1" applyBorder="1" applyAlignment="1" applyProtection="1">
      <alignment horizontal="left" vertical="center"/>
      <protection hidden="1"/>
    </xf>
    <xf numFmtId="0" fontId="18" fillId="0" borderId="56" xfId="0" applyFont="1" applyFill="1" applyBorder="1" applyAlignment="1" applyProtection="1">
      <alignment horizontal="left" vertical="center"/>
      <protection hidden="1"/>
    </xf>
    <xf numFmtId="0" fontId="0" fillId="4" borderId="42" xfId="0" applyFill="1" applyBorder="1" applyAlignment="1">
      <alignment horizontal="center"/>
    </xf>
    <xf numFmtId="0" fontId="41" fillId="4" borderId="0" xfId="0" applyFont="1" applyFill="1" applyAlignment="1">
      <alignment horizontal="center" vertical="center" textRotation="90"/>
    </xf>
    <xf numFmtId="0" fontId="41" fillId="7" borderId="0" xfId="0" applyFont="1" applyFill="1" applyAlignment="1">
      <alignment horizontal="center" vertical="center" textRotation="90"/>
    </xf>
    <xf numFmtId="0" fontId="41" fillId="11" borderId="0" xfId="0" applyFont="1" applyFill="1" applyAlignment="1">
      <alignment horizontal="center" vertical="center" textRotation="90"/>
    </xf>
    <xf numFmtId="0" fontId="41" fillId="29" borderId="0" xfId="0" applyFont="1" applyFill="1" applyAlignment="1">
      <alignment horizontal="center"/>
    </xf>
    <xf numFmtId="0" fontId="41" fillId="5" borderId="0" xfId="0" applyFont="1" applyFill="1" applyAlignment="1">
      <alignment horizontal="center"/>
    </xf>
    <xf numFmtId="0" fontId="18" fillId="0" borderId="49" xfId="58" applyFont="1" applyFill="1" applyBorder="1" applyAlignment="1" applyProtection="1">
      <alignment horizontal="left" vertical="center" wrapText="1"/>
      <protection hidden="1"/>
    </xf>
    <xf numFmtId="1" fontId="8" fillId="0" borderId="10" xfId="61" applyNumberFormat="1" applyFont="1" applyFill="1" applyBorder="1" applyAlignment="1" applyProtection="1">
      <alignment horizontal="left" vertical="center" wrapText="1"/>
      <protection hidden="1"/>
    </xf>
    <xf numFmtId="14" fontId="11" fillId="25" borderId="10" xfId="61" applyNumberFormat="1" applyFont="1" applyFill="1" applyBorder="1" applyAlignment="1" applyProtection="1">
      <alignment horizontal="center" vertical="center" wrapText="1"/>
      <protection hidden="1"/>
    </xf>
    <xf numFmtId="0" fontId="0" fillId="0" borderId="44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10" borderId="42" xfId="0" applyFill="1" applyBorder="1" applyAlignment="1">
      <alignment horizontal="center"/>
    </xf>
    <xf numFmtId="9" fontId="0" fillId="0" borderId="0" xfId="0" applyNumberFormat="1" applyFill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" fontId="8" fillId="0" borderId="53" xfId="61" applyNumberFormat="1" applyFont="1" applyFill="1" applyBorder="1" applyAlignment="1" applyProtection="1">
      <alignment horizontal="left" vertical="center" wrapText="1"/>
      <protection hidden="1"/>
    </xf>
    <xf numFmtId="1" fontId="8" fillId="0" borderId="56" xfId="61" applyNumberFormat="1" applyFont="1" applyFill="1" applyBorder="1" applyAlignment="1" applyProtection="1">
      <alignment horizontal="left" vertical="center" wrapText="1"/>
      <protection hidden="1"/>
    </xf>
    <xf numFmtId="0" fontId="8" fillId="0" borderId="53" xfId="59" applyFont="1" applyFill="1" applyBorder="1" applyAlignment="1" applyProtection="1">
      <alignment horizontal="left" vertical="center" wrapText="1"/>
      <protection hidden="1"/>
    </xf>
    <xf numFmtId="0" fontId="8" fillId="0" borderId="54" xfId="59" applyFont="1" applyFill="1" applyBorder="1" applyAlignment="1" applyProtection="1">
      <alignment horizontal="left" vertical="center" wrapText="1"/>
      <protection hidden="1"/>
    </xf>
    <xf numFmtId="0" fontId="8" fillId="0" borderId="56" xfId="59" applyFont="1" applyFill="1" applyBorder="1" applyAlignment="1" applyProtection="1">
      <alignment horizontal="left" vertical="center" wrapText="1"/>
      <protection hidden="1"/>
    </xf>
    <xf numFmtId="172" fontId="0" fillId="24" borderId="0" xfId="0" applyNumberFormat="1" applyFill="1" applyAlignment="1">
      <alignment horizontal="center"/>
    </xf>
    <xf numFmtId="0" fontId="13" fillId="8" borderId="0" xfId="0" applyFont="1" applyFill="1" applyAlignment="1" applyProtection="1">
      <alignment horizontal="center" vertical="center"/>
      <protection hidden="1"/>
    </xf>
    <xf numFmtId="0" fontId="41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 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6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99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eralaservice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showGridLines="0" showRowColHeaders="0" tabSelected="1" zoomScaleSheetLayoutView="100" zoomScalePageLayoutView="0" workbookViewId="0" topLeftCell="A1">
      <selection activeCell="A1" sqref="A1"/>
    </sheetView>
  </sheetViews>
  <sheetFormatPr defaultColWidth="0" defaultRowHeight="15" zeroHeight="1"/>
  <cols>
    <col min="1" max="1" width="1.28515625" style="1" customWidth="1"/>
    <col min="2" max="2" width="2.8515625" style="7" customWidth="1"/>
    <col min="3" max="3" width="1.7109375" style="1" customWidth="1"/>
    <col min="4" max="4" width="3.7109375" style="1" customWidth="1"/>
    <col min="5" max="5" width="4.140625" style="1" customWidth="1"/>
    <col min="6" max="6" width="3.140625" style="1" customWidth="1"/>
    <col min="7" max="7" width="13.8515625" style="1" customWidth="1"/>
    <col min="8" max="8" width="7.28125" style="1" customWidth="1"/>
    <col min="9" max="9" width="7.140625" style="1" customWidth="1"/>
    <col min="10" max="10" width="3.57421875" style="1" customWidth="1"/>
    <col min="11" max="11" width="5.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7.7109375" style="1" customWidth="1"/>
    <col min="16" max="16" width="1.28515625" style="1" customWidth="1"/>
    <col min="17" max="17" width="5.140625" style="1" customWidth="1"/>
    <col min="18" max="18" width="1.28515625" style="1" customWidth="1"/>
    <col min="19" max="19" width="7.7109375" style="1" customWidth="1"/>
    <col min="20" max="20" width="1.28515625" style="1" customWidth="1"/>
    <col min="21" max="21" width="5.140625" style="1" customWidth="1"/>
    <col min="22" max="22" width="1.28515625" style="1" customWidth="1"/>
    <col min="23" max="23" width="4.421875" style="1" customWidth="1"/>
    <col min="24" max="24" width="0.9921875" style="1" customWidth="1"/>
    <col min="25" max="16384" width="0" style="1" hidden="1" customWidth="1"/>
  </cols>
  <sheetData>
    <row r="1" spans="1:24" ht="6" customHeight="1">
      <c r="A1" s="10"/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20.25" customHeight="1">
      <c r="A2" s="10"/>
      <c r="B2" s="229" t="s">
        <v>0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10"/>
    </row>
    <row r="3" spans="1:24" ht="32.25" customHeight="1">
      <c r="A3" s="10"/>
      <c r="B3" s="237" t="s">
        <v>243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10"/>
    </row>
    <row r="4" spans="1:24" ht="38.25" customHeight="1" thickBot="1">
      <c r="A4" s="10"/>
      <c r="B4" s="231" t="s">
        <v>244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10"/>
    </row>
    <row r="5" spans="1:24" ht="57.75" customHeight="1" thickBot="1">
      <c r="A5" s="10"/>
      <c r="B5" s="232" t="s">
        <v>245</v>
      </c>
      <c r="C5" s="233"/>
      <c r="D5" s="233"/>
      <c r="E5" s="233"/>
      <c r="F5" s="233"/>
      <c r="G5" s="233"/>
      <c r="H5" s="233"/>
      <c r="I5" s="233"/>
      <c r="J5" s="234" t="s">
        <v>246</v>
      </c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6"/>
      <c r="X5" s="10"/>
    </row>
    <row r="6" spans="1:24" s="2" customFormat="1" ht="7.5" customHeight="1">
      <c r="A6" s="12"/>
      <c r="B6" s="238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12"/>
    </row>
    <row r="7" spans="1:24" s="2" customFormat="1" ht="22.5" customHeight="1">
      <c r="A7" s="12"/>
      <c r="B7" s="224" t="s">
        <v>182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12"/>
    </row>
    <row r="8" spans="1:24" ht="17.25" customHeight="1">
      <c r="A8" s="10"/>
      <c r="B8" s="228" t="s">
        <v>1</v>
      </c>
      <c r="C8" s="228"/>
      <c r="D8" s="225" t="s">
        <v>2</v>
      </c>
      <c r="E8" s="225"/>
      <c r="F8" s="225"/>
      <c r="G8" s="225"/>
      <c r="H8" s="225"/>
      <c r="I8" s="225"/>
      <c r="J8" s="68" t="s">
        <v>3</v>
      </c>
      <c r="K8" s="227" t="s">
        <v>103</v>
      </c>
      <c r="L8" s="227"/>
      <c r="M8" s="227" t="s">
        <v>253</v>
      </c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10"/>
    </row>
    <row r="9" spans="1:24" ht="16.5" customHeight="1">
      <c r="A9" s="10"/>
      <c r="B9" s="228" t="s">
        <v>4</v>
      </c>
      <c r="C9" s="228"/>
      <c r="D9" s="225" t="s">
        <v>5</v>
      </c>
      <c r="E9" s="225"/>
      <c r="F9" s="225"/>
      <c r="G9" s="225"/>
      <c r="H9" s="225"/>
      <c r="I9" s="225"/>
      <c r="J9" s="68" t="s">
        <v>3</v>
      </c>
      <c r="K9" s="226" t="s">
        <v>254</v>
      </c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10"/>
    </row>
    <row r="10" spans="1:24" ht="18.75" customHeight="1">
      <c r="A10" s="10"/>
      <c r="B10" s="228" t="s">
        <v>6</v>
      </c>
      <c r="C10" s="228"/>
      <c r="D10" s="225" t="s">
        <v>104</v>
      </c>
      <c r="E10" s="225"/>
      <c r="F10" s="225"/>
      <c r="G10" s="225"/>
      <c r="H10" s="225"/>
      <c r="I10" s="225"/>
      <c r="J10" s="68" t="s">
        <v>3</v>
      </c>
      <c r="K10" s="226" t="s">
        <v>250</v>
      </c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10"/>
    </row>
    <row r="11" spans="1:24" ht="18.75" customHeight="1">
      <c r="A11" s="10"/>
      <c r="B11" s="241" t="s">
        <v>8</v>
      </c>
      <c r="C11" s="242"/>
      <c r="D11" s="243" t="s">
        <v>183</v>
      </c>
      <c r="E11" s="244"/>
      <c r="F11" s="244"/>
      <c r="G11" s="244"/>
      <c r="H11" s="244"/>
      <c r="I11" s="245"/>
      <c r="J11" s="68" t="s">
        <v>3</v>
      </c>
      <c r="K11" s="223" t="s">
        <v>184</v>
      </c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2"/>
      <c r="X11" s="10"/>
    </row>
    <row r="12" spans="1:24" ht="18" customHeight="1">
      <c r="A12" s="10"/>
      <c r="B12" s="228" t="s">
        <v>11</v>
      </c>
      <c r="C12" s="228"/>
      <c r="D12" s="225" t="s">
        <v>7</v>
      </c>
      <c r="E12" s="225"/>
      <c r="F12" s="225"/>
      <c r="G12" s="225"/>
      <c r="H12" s="225"/>
      <c r="I12" s="225"/>
      <c r="J12" s="68" t="s">
        <v>3</v>
      </c>
      <c r="K12" s="240">
        <v>27519</v>
      </c>
      <c r="L12" s="240"/>
      <c r="M12" s="240"/>
      <c r="N12" s="240"/>
      <c r="O12" s="240"/>
      <c r="P12" s="69"/>
      <c r="Q12" s="69"/>
      <c r="R12" s="69"/>
      <c r="S12" s="69"/>
      <c r="T12" s="69"/>
      <c r="U12" s="69"/>
      <c r="V12" s="69"/>
      <c r="W12" s="69"/>
      <c r="X12" s="10"/>
    </row>
    <row r="13" spans="1:24" ht="17.25" customHeight="1">
      <c r="A13" s="10"/>
      <c r="B13" s="228" t="s">
        <v>14</v>
      </c>
      <c r="C13" s="228"/>
      <c r="D13" s="225" t="s">
        <v>9</v>
      </c>
      <c r="E13" s="225"/>
      <c r="F13" s="225"/>
      <c r="G13" s="225"/>
      <c r="H13" s="225"/>
      <c r="I13" s="225"/>
      <c r="J13" s="68" t="s">
        <v>3</v>
      </c>
      <c r="K13" s="240">
        <v>38765</v>
      </c>
      <c r="L13" s="227"/>
      <c r="M13" s="227"/>
      <c r="N13" s="227"/>
      <c r="O13" s="227"/>
      <c r="P13" s="255" t="s">
        <v>10</v>
      </c>
      <c r="Q13" s="255"/>
      <c r="R13" s="255"/>
      <c r="S13" s="68"/>
      <c r="T13" s="68"/>
      <c r="U13" s="68"/>
      <c r="V13" s="68"/>
      <c r="W13" s="68"/>
      <c r="X13" s="10"/>
    </row>
    <row r="14" spans="1:24" ht="18.75" customHeight="1">
      <c r="A14" s="10"/>
      <c r="B14" s="228" t="s">
        <v>15</v>
      </c>
      <c r="C14" s="228"/>
      <c r="D14" s="225" t="s">
        <v>12</v>
      </c>
      <c r="E14" s="225"/>
      <c r="F14" s="225"/>
      <c r="G14" s="225"/>
      <c r="H14" s="225"/>
      <c r="I14" s="225"/>
      <c r="J14" s="68" t="s">
        <v>3</v>
      </c>
      <c r="K14" s="219"/>
      <c r="L14" s="220"/>
      <c r="M14" s="220"/>
      <c r="N14" s="246"/>
      <c r="O14" s="70" t="s">
        <v>13</v>
      </c>
      <c r="P14" s="70"/>
      <c r="Q14" s="70"/>
      <c r="R14" s="70"/>
      <c r="S14" s="70"/>
      <c r="T14" s="70"/>
      <c r="U14" s="70"/>
      <c r="V14" s="70"/>
      <c r="W14" s="70"/>
      <c r="X14" s="10"/>
    </row>
    <row r="15" spans="1:24" ht="20.25" customHeight="1">
      <c r="A15" s="10"/>
      <c r="B15" s="228" t="s">
        <v>17</v>
      </c>
      <c r="C15" s="228"/>
      <c r="D15" s="74" t="s">
        <v>188</v>
      </c>
      <c r="E15" s="244" t="s">
        <v>185</v>
      </c>
      <c r="F15" s="244"/>
      <c r="G15" s="244"/>
      <c r="H15" s="244"/>
      <c r="I15" s="245"/>
      <c r="J15" s="68" t="s">
        <v>3</v>
      </c>
      <c r="K15" s="219">
        <v>6870</v>
      </c>
      <c r="L15" s="220"/>
      <c r="M15" s="220"/>
      <c r="N15" s="246"/>
      <c r="O15" s="70"/>
      <c r="P15" s="70"/>
      <c r="Q15" s="70"/>
      <c r="R15" s="70"/>
      <c r="S15" s="70"/>
      <c r="T15" s="70"/>
      <c r="U15" s="70"/>
      <c r="V15" s="70"/>
      <c r="W15" s="70"/>
      <c r="X15" s="10"/>
    </row>
    <row r="16" spans="1:24" ht="18.75" customHeight="1">
      <c r="A16" s="10"/>
      <c r="B16" s="73"/>
      <c r="C16" s="73"/>
      <c r="D16" s="72" t="s">
        <v>189</v>
      </c>
      <c r="E16" s="243" t="s">
        <v>186</v>
      </c>
      <c r="F16" s="244"/>
      <c r="G16" s="244"/>
      <c r="H16" s="244"/>
      <c r="I16" s="245"/>
      <c r="J16" s="68"/>
      <c r="K16" s="219"/>
      <c r="L16" s="220"/>
      <c r="M16" s="220"/>
      <c r="N16" s="246"/>
      <c r="O16" s="70"/>
      <c r="P16" s="70"/>
      <c r="Q16" s="70"/>
      <c r="R16" s="70"/>
      <c r="S16" s="70"/>
      <c r="T16" s="70"/>
      <c r="U16" s="70"/>
      <c r="V16" s="70"/>
      <c r="W16" s="70"/>
      <c r="X16" s="10"/>
    </row>
    <row r="17" spans="1:24" ht="18" customHeight="1">
      <c r="A17" s="10"/>
      <c r="B17" s="73"/>
      <c r="C17" s="73"/>
      <c r="D17" s="72" t="s">
        <v>190</v>
      </c>
      <c r="E17" s="243" t="s">
        <v>187</v>
      </c>
      <c r="F17" s="244"/>
      <c r="G17" s="244"/>
      <c r="H17" s="244"/>
      <c r="I17" s="245"/>
      <c r="J17" s="68"/>
      <c r="K17" s="219"/>
      <c r="L17" s="220"/>
      <c r="M17" s="220"/>
      <c r="N17" s="246"/>
      <c r="O17" s="70"/>
      <c r="P17" s="70"/>
      <c r="Q17" s="70"/>
      <c r="R17" s="70"/>
      <c r="S17" s="70"/>
      <c r="T17" s="70"/>
      <c r="U17" s="70"/>
      <c r="V17" s="70"/>
      <c r="W17" s="70"/>
      <c r="X17" s="10"/>
    </row>
    <row r="18" spans="1:24" ht="20.25" customHeight="1">
      <c r="A18" s="10"/>
      <c r="B18" s="228" t="s">
        <v>19</v>
      </c>
      <c r="C18" s="228"/>
      <c r="D18" s="225" t="s">
        <v>16</v>
      </c>
      <c r="E18" s="225"/>
      <c r="F18" s="225"/>
      <c r="G18" s="225"/>
      <c r="H18" s="225"/>
      <c r="I18" s="225"/>
      <c r="J18" s="68" t="s">
        <v>3</v>
      </c>
      <c r="K18" s="240">
        <v>40210</v>
      </c>
      <c r="L18" s="227"/>
      <c r="M18" s="227"/>
      <c r="N18" s="227"/>
      <c r="O18" s="227"/>
      <c r="P18" s="70"/>
      <c r="Q18" s="70"/>
      <c r="R18" s="70"/>
      <c r="S18" s="70"/>
      <c r="T18" s="70"/>
      <c r="U18" s="70"/>
      <c r="V18" s="70"/>
      <c r="W18" s="70"/>
      <c r="X18" s="10"/>
    </row>
    <row r="19" spans="1:24" ht="18.75" customHeight="1">
      <c r="A19" s="10"/>
      <c r="B19" s="228" t="s">
        <v>64</v>
      </c>
      <c r="C19" s="228"/>
      <c r="D19" s="225" t="s">
        <v>63</v>
      </c>
      <c r="E19" s="225"/>
      <c r="F19" s="225"/>
      <c r="G19" s="225"/>
      <c r="H19" s="225"/>
      <c r="I19" s="225"/>
      <c r="J19" s="68" t="s">
        <v>3</v>
      </c>
      <c r="K19" s="226" t="s">
        <v>255</v>
      </c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10"/>
    </row>
    <row r="20" spans="1:24" ht="18.75" customHeight="1">
      <c r="A20" s="10"/>
      <c r="B20" s="228" t="s">
        <v>29</v>
      </c>
      <c r="C20" s="228"/>
      <c r="D20" s="225" t="s">
        <v>18</v>
      </c>
      <c r="E20" s="225"/>
      <c r="F20" s="225"/>
      <c r="G20" s="225"/>
      <c r="H20" s="225"/>
      <c r="I20" s="225"/>
      <c r="J20" s="68" t="s">
        <v>3</v>
      </c>
      <c r="K20" s="227" t="s">
        <v>40</v>
      </c>
      <c r="L20" s="227"/>
      <c r="M20" s="227"/>
      <c r="N20" s="227"/>
      <c r="O20" s="227"/>
      <c r="P20" s="70"/>
      <c r="Q20" s="70"/>
      <c r="R20" s="70"/>
      <c r="S20" s="70"/>
      <c r="T20" s="70"/>
      <c r="U20" s="70"/>
      <c r="V20" s="70"/>
      <c r="W20" s="70"/>
      <c r="X20" s="10"/>
    </row>
    <row r="21" spans="1:24" ht="17.25" customHeight="1">
      <c r="A21" s="10"/>
      <c r="B21" s="228" t="s">
        <v>30</v>
      </c>
      <c r="C21" s="228"/>
      <c r="D21" s="225" t="s">
        <v>20</v>
      </c>
      <c r="E21" s="225"/>
      <c r="F21" s="225"/>
      <c r="G21" s="225"/>
      <c r="H21" s="225"/>
      <c r="I21" s="225"/>
      <c r="J21" s="68" t="s">
        <v>3</v>
      </c>
      <c r="K21" s="227" t="s">
        <v>82</v>
      </c>
      <c r="L21" s="227"/>
      <c r="M21" s="227"/>
      <c r="N21" s="227"/>
      <c r="O21" s="227"/>
      <c r="P21" s="70"/>
      <c r="Q21" s="70"/>
      <c r="R21" s="70"/>
      <c r="S21" s="70"/>
      <c r="T21" s="70"/>
      <c r="U21" s="70"/>
      <c r="V21" s="70"/>
      <c r="W21" s="70"/>
      <c r="X21" s="10"/>
    </row>
    <row r="22" spans="1:24" ht="21.75" customHeight="1">
      <c r="A22" s="10"/>
      <c r="B22" s="258" t="s">
        <v>204</v>
      </c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10"/>
    </row>
    <row r="23" spans="1:24" ht="21" customHeight="1">
      <c r="A23" s="10"/>
      <c r="B23" s="247" t="s">
        <v>31</v>
      </c>
      <c r="C23" s="247"/>
      <c r="D23" s="225" t="s">
        <v>191</v>
      </c>
      <c r="E23" s="225"/>
      <c r="F23" s="225"/>
      <c r="G23" s="225"/>
      <c r="H23" s="225"/>
      <c r="I23" s="225"/>
      <c r="J23" s="68" t="s">
        <v>3</v>
      </c>
      <c r="K23" s="240">
        <v>40781</v>
      </c>
      <c r="L23" s="227"/>
      <c r="M23" s="227"/>
      <c r="N23" s="227"/>
      <c r="O23" s="227"/>
      <c r="P23" s="70"/>
      <c r="Q23" s="70"/>
      <c r="R23" s="70"/>
      <c r="S23" s="70"/>
      <c r="T23" s="70"/>
      <c r="U23" s="70"/>
      <c r="V23" s="70"/>
      <c r="W23" s="70"/>
      <c r="X23" s="10"/>
    </row>
    <row r="24" spans="1:24" ht="18" customHeight="1">
      <c r="A24" s="10"/>
      <c r="B24" s="247" t="s">
        <v>32</v>
      </c>
      <c r="C24" s="247"/>
      <c r="D24" s="225" t="s">
        <v>214</v>
      </c>
      <c r="E24" s="225"/>
      <c r="F24" s="225"/>
      <c r="G24" s="225"/>
      <c r="H24" s="225"/>
      <c r="I24" s="225"/>
      <c r="J24" s="68" t="s">
        <v>3</v>
      </c>
      <c r="K24" s="227" t="s">
        <v>247</v>
      </c>
      <c r="L24" s="227"/>
      <c r="M24" s="227"/>
      <c r="N24" s="227"/>
      <c r="O24" s="227"/>
      <c r="P24" s="70"/>
      <c r="Q24" s="70"/>
      <c r="R24" s="70"/>
      <c r="S24" s="70"/>
      <c r="T24" s="70"/>
      <c r="U24" s="70"/>
      <c r="V24" s="70"/>
      <c r="W24" s="70"/>
      <c r="X24" s="10"/>
    </row>
    <row r="25" spans="1:24" ht="17.25" customHeight="1">
      <c r="A25" s="10"/>
      <c r="B25" s="247" t="s">
        <v>34</v>
      </c>
      <c r="C25" s="247"/>
      <c r="D25" s="225" t="s">
        <v>21</v>
      </c>
      <c r="E25" s="225"/>
      <c r="F25" s="225"/>
      <c r="G25" s="225"/>
      <c r="H25" s="225"/>
      <c r="I25" s="225"/>
      <c r="J25" s="68" t="s">
        <v>3</v>
      </c>
      <c r="K25" s="227" t="s">
        <v>43</v>
      </c>
      <c r="L25" s="227"/>
      <c r="M25" s="227"/>
      <c r="N25" s="227"/>
      <c r="O25" s="227"/>
      <c r="P25" s="70"/>
      <c r="Q25" s="70"/>
      <c r="R25" s="70"/>
      <c r="S25" s="70"/>
      <c r="T25" s="70"/>
      <c r="U25" s="70"/>
      <c r="V25" s="70"/>
      <c r="W25" s="70"/>
      <c r="X25" s="10"/>
    </row>
    <row r="26" spans="1:24" ht="18.75" customHeight="1" thickBot="1">
      <c r="A26" s="10"/>
      <c r="B26" s="247" t="s">
        <v>35</v>
      </c>
      <c r="C26" s="247"/>
      <c r="D26" s="225" t="s">
        <v>22</v>
      </c>
      <c r="E26" s="225"/>
      <c r="F26" s="225"/>
      <c r="G26" s="225"/>
      <c r="H26" s="225"/>
      <c r="I26" s="253"/>
      <c r="J26" s="71" t="s">
        <v>3</v>
      </c>
      <c r="K26" s="254" t="s">
        <v>85</v>
      </c>
      <c r="L26" s="254"/>
      <c r="M26" s="254"/>
      <c r="N26" s="227"/>
      <c r="O26" s="227"/>
      <c r="P26" s="70"/>
      <c r="Q26" s="70"/>
      <c r="R26" s="70"/>
      <c r="S26" s="70"/>
      <c r="T26" s="70"/>
      <c r="U26" s="70"/>
      <c r="V26" s="70"/>
      <c r="W26" s="70"/>
      <c r="X26" s="10"/>
    </row>
    <row r="27" spans="1:24" ht="51.75" customHeight="1" thickBot="1">
      <c r="A27" s="10"/>
      <c r="B27" s="65"/>
      <c r="C27" s="65"/>
      <c r="D27" s="65"/>
      <c r="E27" s="65"/>
      <c r="F27" s="65"/>
      <c r="G27" s="65"/>
      <c r="H27" s="65"/>
      <c r="I27" s="250" t="s">
        <v>62</v>
      </c>
      <c r="J27" s="251"/>
      <c r="K27" s="251"/>
      <c r="L27" s="251"/>
      <c r="M27" s="252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10"/>
    </row>
    <row r="28" spans="1:24" ht="5.25" customHeight="1">
      <c r="A28" s="10"/>
      <c r="B28" s="256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10"/>
    </row>
    <row r="29" spans="2:23" ht="36" customHeight="1" hidden="1">
      <c r="B29" s="248"/>
      <c r="C29" s="248"/>
      <c r="D29" s="248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2:23" ht="15" hidden="1">
      <c r="B30" s="249"/>
      <c r="C30" s="249"/>
      <c r="D30" s="249"/>
      <c r="E30" s="3"/>
      <c r="F30" s="3"/>
      <c r="G30" s="4" t="s">
        <v>37</v>
      </c>
      <c r="H30" s="3"/>
      <c r="I30" s="4" t="s">
        <v>78</v>
      </c>
      <c r="J30" s="3"/>
      <c r="K30" s="4"/>
      <c r="L30" s="3"/>
      <c r="M30" s="5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2:23" ht="15" hidden="1">
      <c r="B31" s="6"/>
      <c r="C31" s="3"/>
      <c r="D31" s="3"/>
      <c r="E31" s="3"/>
      <c r="F31" s="3"/>
      <c r="G31" s="4" t="s">
        <v>38</v>
      </c>
      <c r="H31" s="3"/>
      <c r="I31" s="4" t="s">
        <v>79</v>
      </c>
      <c r="J31" s="3"/>
      <c r="K31" s="4"/>
      <c r="L31" s="3"/>
      <c r="M31" s="5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2:23" ht="15" hidden="1">
      <c r="B32" s="6"/>
      <c r="C32" s="3"/>
      <c r="D32" s="3"/>
      <c r="E32" s="3"/>
      <c r="F32" s="3"/>
      <c r="G32" s="4" t="s">
        <v>39</v>
      </c>
      <c r="H32" s="3"/>
      <c r="I32" s="4" t="s">
        <v>80</v>
      </c>
      <c r="J32" s="3"/>
      <c r="K32" s="4"/>
      <c r="L32" s="3"/>
      <c r="M32" s="5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2:23" ht="15" hidden="1">
      <c r="B33" s="6"/>
      <c r="C33" s="3"/>
      <c r="D33" s="3"/>
      <c r="E33" s="3"/>
      <c r="F33" s="3"/>
      <c r="G33" s="4" t="s">
        <v>40</v>
      </c>
      <c r="H33" s="3"/>
      <c r="I33" s="4" t="s">
        <v>81</v>
      </c>
      <c r="J33" s="3"/>
      <c r="K33" s="4"/>
      <c r="L33" s="3"/>
      <c r="M33" s="5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2:13" ht="15" hidden="1">
      <c r="B34" s="6"/>
      <c r="C34" s="3"/>
      <c r="D34" s="3"/>
      <c r="E34" s="3"/>
      <c r="F34" s="3"/>
      <c r="G34" s="4" t="s">
        <v>41</v>
      </c>
      <c r="H34" s="3"/>
      <c r="I34" s="4" t="s">
        <v>82</v>
      </c>
      <c r="J34" s="3"/>
      <c r="K34" s="4"/>
      <c r="M34" s="5"/>
    </row>
    <row r="35" spans="7:13" ht="15" hidden="1">
      <c r="G35" s="4" t="s">
        <v>42</v>
      </c>
      <c r="I35" s="4" t="s">
        <v>83</v>
      </c>
      <c r="K35" s="4"/>
      <c r="M35" s="5"/>
    </row>
    <row r="36" spans="7:13" ht="15" hidden="1">
      <c r="G36" s="17" t="s">
        <v>43</v>
      </c>
      <c r="I36" s="4" t="s">
        <v>84</v>
      </c>
      <c r="K36" s="4"/>
      <c r="M36" s="5"/>
    </row>
    <row r="37" spans="7:13" ht="15" hidden="1">
      <c r="G37" s="17" t="s">
        <v>44</v>
      </c>
      <c r="I37" s="4" t="s">
        <v>85</v>
      </c>
      <c r="K37" s="4"/>
      <c r="M37" s="5"/>
    </row>
    <row r="38" spans="7:13" ht="15" hidden="1">
      <c r="G38" s="17" t="s">
        <v>45</v>
      </c>
      <c r="I38" s="4" t="s">
        <v>86</v>
      </c>
      <c r="K38" s="4"/>
      <c r="M38" s="5"/>
    </row>
    <row r="39" spans="7:13" ht="15" hidden="1">
      <c r="G39" s="17" t="s">
        <v>46</v>
      </c>
      <c r="I39" s="4" t="s">
        <v>87</v>
      </c>
      <c r="K39" s="4"/>
      <c r="M39" s="5"/>
    </row>
    <row r="40" spans="7:13" ht="15" hidden="1">
      <c r="G40" s="17" t="s">
        <v>47</v>
      </c>
      <c r="I40" s="4" t="s">
        <v>88</v>
      </c>
      <c r="K40" s="4"/>
      <c r="M40" s="5"/>
    </row>
    <row r="41" spans="7:13" ht="15" hidden="1">
      <c r="G41" s="17" t="s">
        <v>48</v>
      </c>
      <c r="I41" s="4" t="s">
        <v>89</v>
      </c>
      <c r="K41" s="4"/>
      <c r="M41" s="5"/>
    </row>
    <row r="42" spans="7:13" ht="15" hidden="1">
      <c r="G42" s="17" t="s">
        <v>49</v>
      </c>
      <c r="I42" s="4" t="s">
        <v>90</v>
      </c>
      <c r="K42" s="4"/>
      <c r="M42" s="5"/>
    </row>
    <row r="43" spans="7:13" ht="15" hidden="1">
      <c r="G43" s="17" t="s">
        <v>50</v>
      </c>
      <c r="I43" s="4" t="s">
        <v>91</v>
      </c>
      <c r="K43" s="4"/>
      <c r="M43" s="5"/>
    </row>
    <row r="44" spans="7:13" ht="15" hidden="1">
      <c r="G44" s="17" t="s">
        <v>51</v>
      </c>
      <c r="I44" s="4" t="s">
        <v>92</v>
      </c>
      <c r="K44" s="4"/>
      <c r="M44" s="5"/>
    </row>
    <row r="45" spans="7:13" ht="15" hidden="1">
      <c r="G45" s="17" t="s">
        <v>52</v>
      </c>
      <c r="I45" s="4" t="s">
        <v>93</v>
      </c>
      <c r="K45" s="4"/>
      <c r="M45" s="5"/>
    </row>
    <row r="46" spans="7:13" ht="15" hidden="1">
      <c r="G46" s="17" t="s">
        <v>53</v>
      </c>
      <c r="I46" s="4" t="s">
        <v>94</v>
      </c>
      <c r="K46" s="4"/>
      <c r="M46" s="5"/>
    </row>
    <row r="47" spans="7:13" ht="15" hidden="1">
      <c r="G47" s="17" t="s">
        <v>54</v>
      </c>
      <c r="I47" s="4" t="s">
        <v>95</v>
      </c>
      <c r="K47" s="4"/>
      <c r="M47" s="5"/>
    </row>
    <row r="48" spans="7:13" ht="15" hidden="1">
      <c r="G48" s="17" t="s">
        <v>55</v>
      </c>
      <c r="I48" s="4" t="s">
        <v>96</v>
      </c>
      <c r="K48" s="4"/>
      <c r="M48" s="5"/>
    </row>
    <row r="49" spans="7:13" ht="15" hidden="1">
      <c r="G49" s="17" t="s">
        <v>56</v>
      </c>
      <c r="I49" s="4" t="s">
        <v>97</v>
      </c>
      <c r="K49" s="4"/>
      <c r="M49" s="5"/>
    </row>
    <row r="50" spans="7:13" ht="15" hidden="1">
      <c r="G50" s="17" t="s">
        <v>57</v>
      </c>
      <c r="I50" s="4" t="s">
        <v>98</v>
      </c>
      <c r="K50" s="4"/>
      <c r="M50" s="5"/>
    </row>
    <row r="51" spans="7:13" ht="15" hidden="1">
      <c r="G51" s="17" t="s">
        <v>58</v>
      </c>
      <c r="I51" s="4" t="s">
        <v>99</v>
      </c>
      <c r="K51" s="4"/>
      <c r="M51" s="5"/>
    </row>
    <row r="52" spans="7:13" ht="15" hidden="1">
      <c r="G52" s="17" t="s">
        <v>59</v>
      </c>
      <c r="I52" s="4" t="s">
        <v>100</v>
      </c>
      <c r="K52" s="4"/>
      <c r="M52" s="5"/>
    </row>
    <row r="53" spans="7:13" ht="15" hidden="1">
      <c r="G53" s="17" t="s">
        <v>60</v>
      </c>
      <c r="I53" s="4" t="s">
        <v>101</v>
      </c>
      <c r="K53" s="4"/>
      <c r="M53" s="5"/>
    </row>
    <row r="54" spans="7:13" ht="15" hidden="1">
      <c r="G54" s="9" t="s">
        <v>61</v>
      </c>
      <c r="I54" s="4" t="s">
        <v>102</v>
      </c>
      <c r="K54" s="5"/>
      <c r="M54" s="5"/>
    </row>
    <row r="55" spans="11:13" ht="15" hidden="1">
      <c r="K55" s="5"/>
      <c r="M55" s="5"/>
    </row>
    <row r="56" spans="11:13" ht="15" hidden="1">
      <c r="K56" s="5"/>
      <c r="M56" s="5"/>
    </row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</sheetData>
  <sheetProtection password="8781" sheet="1" objects="1"/>
  <mergeCells count="66">
    <mergeCell ref="P13:R13"/>
    <mergeCell ref="B14:C14"/>
    <mergeCell ref="D14:I14"/>
    <mergeCell ref="B28:W28"/>
    <mergeCell ref="K24:O24"/>
    <mergeCell ref="B21:C21"/>
    <mergeCell ref="D21:I21"/>
    <mergeCell ref="K21:O21"/>
    <mergeCell ref="B22:W22"/>
    <mergeCell ref="B23:C23"/>
    <mergeCell ref="B29:D29"/>
    <mergeCell ref="B30:D30"/>
    <mergeCell ref="I27:M27"/>
    <mergeCell ref="B25:C25"/>
    <mergeCell ref="D25:I25"/>
    <mergeCell ref="K25:O25"/>
    <mergeCell ref="B26:C26"/>
    <mergeCell ref="D26:I26"/>
    <mergeCell ref="K26:O26"/>
    <mergeCell ref="D23:I23"/>
    <mergeCell ref="K23:O23"/>
    <mergeCell ref="B24:C24"/>
    <mergeCell ref="D24:I24"/>
    <mergeCell ref="B20:C20"/>
    <mergeCell ref="D20:I20"/>
    <mergeCell ref="K20:O20"/>
    <mergeCell ref="D19:I19"/>
    <mergeCell ref="K19:W19"/>
    <mergeCell ref="B19:C19"/>
    <mergeCell ref="B15:C15"/>
    <mergeCell ref="K15:N15"/>
    <mergeCell ref="E17:I17"/>
    <mergeCell ref="B18:C18"/>
    <mergeCell ref="D18:I18"/>
    <mergeCell ref="K18:O18"/>
    <mergeCell ref="K16:N16"/>
    <mergeCell ref="K17:N17"/>
    <mergeCell ref="E15:I15"/>
    <mergeCell ref="E16:I16"/>
    <mergeCell ref="B13:C13"/>
    <mergeCell ref="D13:I13"/>
    <mergeCell ref="K13:O13"/>
    <mergeCell ref="K14:N14"/>
    <mergeCell ref="B6:W6"/>
    <mergeCell ref="B8:C8"/>
    <mergeCell ref="D8:I8"/>
    <mergeCell ref="B12:C12"/>
    <mergeCell ref="D12:I12"/>
    <mergeCell ref="K12:O12"/>
    <mergeCell ref="B11:C11"/>
    <mergeCell ref="D11:I11"/>
    <mergeCell ref="K11:W11"/>
    <mergeCell ref="B10:C10"/>
    <mergeCell ref="B2:W2"/>
    <mergeCell ref="B4:W4"/>
    <mergeCell ref="B5:I5"/>
    <mergeCell ref="J5:W5"/>
    <mergeCell ref="B3:W3"/>
    <mergeCell ref="B7:W7"/>
    <mergeCell ref="D10:I10"/>
    <mergeCell ref="K10:W10"/>
    <mergeCell ref="K8:L8"/>
    <mergeCell ref="M8:W8"/>
    <mergeCell ref="B9:C9"/>
    <mergeCell ref="D9:I9"/>
    <mergeCell ref="K9:W9"/>
  </mergeCells>
  <dataValidations count="16">
    <dataValidation type="list" allowBlank="1" showInputMessage="1" showErrorMessage="1" prompt="Select from drop down list" sqref="K24:O24">
      <formula1>"Rule 28A/37(a),Option B, Rule 30, Other"</formula1>
    </dataValidation>
    <dataValidation type="date" allowBlank="1" showInputMessage="1" showErrorMessage="1" prompt="Enter Date of Birth. Date format should be dd/mm/yyyy&#10;" errorTitle="Check your Date of Birth" error="Either You have retired from service or not entered" sqref="K12:O12">
      <formula1>20179</formula1>
      <formula2>33420</formula2>
    </dataValidation>
    <dataValidation allowBlank="1" showInputMessage="1" showErrorMessage="1" prompt="Here enter your Designation as on date of filing Option." sqref="P12:W12"/>
    <dataValidation type="date" allowBlank="1" showInputMessage="1" showErrorMessage="1" prompt="Next increment Date between2/7/2009 to 1/7/2010.&#10;Date format should be dd/mm/yyyy&#10;" error="A date from 02/07/2009 to 01/07/2010 need be entered." sqref="K18:O18">
      <formula1>39996</formula1>
      <formula2>40360</formula2>
    </dataValidation>
    <dataValidation type="list" allowBlank="1" showInputMessage="1" showErrorMessage="1" prompt="Select from drop-down menu." sqref="K8:L8">
      <formula1>"Sri., Smt."</formula1>
    </dataValidation>
    <dataValidation allowBlank="1" showInputMessage="1" showErrorMessage="1" prompt="Enter Special Pay  if any as on 01/07/2009." sqref="K17:N17"/>
    <dataValidation allowBlank="1" showInputMessage="1" showErrorMessage="1" prompt="Number of days which not counted for increment." sqref="K14:N14"/>
    <dataValidation type="date" operator="lessThan" allowBlank="1" showInputMessage="1" showErrorMessage="1" prompt="Date format should be dd/mm/yyyy&#10;" errorTitle="Check Date of Entry" error="Employees who were entered service on or after 01/07/2009 is not eligible for fixation benefit." sqref="K13:O13">
      <formula1>39995</formula1>
    </dataValidation>
    <dataValidation type="list" allowBlank="1" showInputMessage="1" showErrorMessage="1" prompt="Select from drop down menu." sqref="P13:R13">
      <formula1>"F. N., A. N."</formula1>
    </dataValidation>
    <dataValidation type="date" allowBlank="1" showInputMessage="1" showErrorMessage="1" prompt="Enter Promotion / Grade effect date.&#10;Date format should be dd/mm/yyyy&#10;" error="Option in the higher post on or after 19/1/2012 is not allowed" sqref="K23:O23">
      <formula1>39995</formula1>
      <formula2>TODAY()</formula2>
    </dataValidation>
    <dataValidation allowBlank="1" showInputMessage="1" showErrorMessage="1" prompt="Basic Pay + Stagnation Increments if any as on 01/07/2009." sqref="K15:N15"/>
    <dataValidation allowBlank="1" showInputMessage="1" showErrorMessage="1" prompt="Enter Personal Pay if any as on 01/07/2009." sqref="K16:N16"/>
    <dataValidation allowBlank="1" showInputMessage="1" showErrorMessage="1" prompt="Here enter the Designation as on 01-07-2009" sqref="K19:W19"/>
    <dataValidation type="list" allowBlank="1" showInputMessage="1" showErrorMessage="1" prompt="Select from list&#10;" sqref="K20:O20">
      <formula1>$G$30:$G$54</formula1>
    </dataValidation>
    <dataValidation type="list" allowBlank="1" showInputMessage="1" showErrorMessage="1" prompt="Select from list" sqref="K21:O21 K26:O26">
      <formula1>$I$30:$I$54</formula1>
    </dataValidation>
    <dataValidation type="list" allowBlank="1" showInputMessage="1" showErrorMessage="1" prompt="Select from list" sqref="K25:O25">
      <formula1>$G$30:$G$54</formula1>
    </dataValidation>
  </dataValidations>
  <hyperlinks>
    <hyperlink ref="B2" r:id="rId1" display="WWW.keralaservice.org"/>
    <hyperlink ref="I27:M27" location="'KWA Fix'!A1" display="COMPARE FIXATION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249"/>
  <sheetViews>
    <sheetView showGridLines="0" showRowColHeaders="0" zoomScalePageLayoutView="0" workbookViewId="0" topLeftCell="A13">
      <selection activeCell="C24" sqref="C24:D24"/>
    </sheetView>
  </sheetViews>
  <sheetFormatPr defaultColWidth="0" defaultRowHeight="15" zeroHeight="1"/>
  <cols>
    <col min="1" max="1" width="2.28125" style="0" customWidth="1"/>
    <col min="2" max="2" width="4.421875" style="0" customWidth="1"/>
    <col min="3" max="3" width="11.8515625" style="0" customWidth="1"/>
    <col min="4" max="4" width="21.57421875" style="0" customWidth="1"/>
    <col min="5" max="5" width="5.57421875" style="0" customWidth="1"/>
    <col min="6" max="6" width="6.57421875" style="0" customWidth="1"/>
    <col min="7" max="7" width="2.140625" style="0" customWidth="1"/>
    <col min="8" max="8" width="11.28125" style="0" customWidth="1"/>
    <col min="9" max="9" width="8.8515625" style="0" customWidth="1"/>
    <col min="10" max="10" width="13.00390625" style="0" customWidth="1"/>
    <col min="11" max="11" width="9.421875" style="0" customWidth="1"/>
    <col min="12" max="12" width="24.00390625" style="0" customWidth="1"/>
    <col min="13" max="13" width="22.140625" style="0" customWidth="1"/>
    <col min="14" max="14" width="11.8515625" style="0" customWidth="1"/>
    <col min="15" max="15" width="1.8515625" style="0" customWidth="1"/>
    <col min="16" max="16" width="10.7109375" style="0" hidden="1" customWidth="1"/>
    <col min="17" max="17" width="10.421875" style="0" hidden="1" customWidth="1"/>
    <col min="18" max="18" width="17.421875" style="0" hidden="1" customWidth="1"/>
    <col min="19" max="19" width="11.28125" style="0" hidden="1" customWidth="1"/>
    <col min="20" max="20" width="0" style="0" hidden="1" customWidth="1"/>
    <col min="21" max="21" width="10.421875" style="0" hidden="1" customWidth="1"/>
    <col min="22" max="22" width="11.140625" style="0" hidden="1" customWidth="1"/>
    <col min="23" max="23" width="11.8515625" style="0" hidden="1" customWidth="1"/>
    <col min="24" max="28" width="13.8515625" style="0" hidden="1" customWidth="1"/>
    <col min="29" max="29" width="12.8515625" style="0" hidden="1" customWidth="1"/>
    <col min="30" max="30" width="18.57421875" style="0" hidden="1" customWidth="1"/>
    <col min="31" max="36" width="13.8515625" style="0" hidden="1" customWidth="1"/>
    <col min="37" max="37" width="10.8515625" style="0" hidden="1" customWidth="1"/>
    <col min="38" max="38" width="11.57421875" style="0" hidden="1" customWidth="1"/>
    <col min="39" max="39" width="13.8515625" style="0" hidden="1" customWidth="1"/>
    <col min="40" max="40" width="10.8515625" style="0" hidden="1" customWidth="1"/>
    <col min="41" max="41" width="13.8515625" style="0" hidden="1" customWidth="1"/>
    <col min="42" max="43" width="10.8515625" style="0" hidden="1" customWidth="1"/>
    <col min="44" max="44" width="7.28125" style="0" hidden="1" customWidth="1"/>
    <col min="45" max="45" width="6.140625" style="0" hidden="1" customWidth="1"/>
    <col min="46" max="46" width="13.57421875" style="0" hidden="1" customWidth="1"/>
    <col min="47" max="47" width="11.140625" style="0" hidden="1" customWidth="1"/>
    <col min="48" max="49" width="13.8515625" style="0" hidden="1" customWidth="1"/>
    <col min="50" max="50" width="10.8515625" style="0" hidden="1" customWidth="1"/>
    <col min="51" max="52" width="13.8515625" style="0" hidden="1" customWidth="1"/>
    <col min="53" max="60" width="0" style="0" hidden="1" customWidth="1"/>
    <col min="61" max="61" width="10.8515625" style="0" hidden="1" customWidth="1"/>
  </cols>
  <sheetData>
    <row r="1" spans="1:19" ht="10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283"/>
      <c r="P1" s="94"/>
      <c r="Q1" s="94"/>
      <c r="R1" s="94"/>
      <c r="S1" s="94"/>
    </row>
    <row r="2" spans="1:19" ht="22.5" customHeight="1">
      <c r="A2" s="16"/>
      <c r="B2" s="284" t="s">
        <v>23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3"/>
      <c r="P2" s="91"/>
      <c r="Q2" s="91"/>
      <c r="R2" s="218">
        <f>R5</f>
        <v>41292</v>
      </c>
      <c r="S2" s="94"/>
    </row>
    <row r="3" spans="1:19" ht="31.5" customHeight="1">
      <c r="A3" s="16"/>
      <c r="B3" s="14" t="s">
        <v>1</v>
      </c>
      <c r="C3" s="285" t="s">
        <v>71</v>
      </c>
      <c r="D3" s="285"/>
      <c r="E3" s="285"/>
      <c r="F3" s="285"/>
      <c r="G3" s="13" t="s">
        <v>3</v>
      </c>
      <c r="H3" s="287" t="str">
        <f>CONCATENATE(Home!K8," ",UPPER(Home!M8),", ",UPPER(Home!K9))</f>
        <v>Sri. M.P.SAFFEEQ, U.D.CLERK</v>
      </c>
      <c r="I3" s="287"/>
      <c r="J3" s="287"/>
      <c r="K3" s="287"/>
      <c r="L3" s="287" t="s">
        <v>72</v>
      </c>
      <c r="M3" s="287"/>
      <c r="N3" s="8">
        <f>Home!K12</f>
        <v>27519</v>
      </c>
      <c r="O3" s="283"/>
      <c r="P3" s="91"/>
      <c r="Q3" s="91"/>
      <c r="R3" s="217">
        <v>41292</v>
      </c>
      <c r="S3" s="94"/>
    </row>
    <row r="4" spans="1:19" ht="17.25" customHeight="1">
      <c r="A4" s="15"/>
      <c r="B4" s="14" t="s">
        <v>24</v>
      </c>
      <c r="C4" s="285" t="s">
        <v>77</v>
      </c>
      <c r="D4" s="285"/>
      <c r="E4" s="285"/>
      <c r="F4" s="285"/>
      <c r="G4" s="13" t="s">
        <v>3</v>
      </c>
      <c r="H4" s="8">
        <f>Home!K13</f>
        <v>38765</v>
      </c>
      <c r="I4" s="19" t="str">
        <f>Home!P13</f>
        <v>F. N.</v>
      </c>
      <c r="J4" s="296" t="s">
        <v>73</v>
      </c>
      <c r="K4" s="296"/>
      <c r="L4" s="296"/>
      <c r="M4" s="296"/>
      <c r="N4" s="18">
        <f>Home!K14</f>
        <v>0</v>
      </c>
      <c r="O4" s="283"/>
      <c r="P4" s="91"/>
      <c r="Q4" s="91"/>
      <c r="R4" s="217">
        <f>IF(MONTH(N3)=1,DATE(YEAR(N3)+56,MONTH(N3)-1,DAY(30)),DATE(YEAR(N3)+56,MONTH(N3),DAY(30)))</f>
        <v>47998</v>
      </c>
      <c r="S4" s="94"/>
    </row>
    <row r="5" spans="1:19" ht="17.25" customHeight="1">
      <c r="A5" s="15"/>
      <c r="B5" s="14" t="s">
        <v>25</v>
      </c>
      <c r="C5" s="285" t="s">
        <v>26</v>
      </c>
      <c r="D5" s="285"/>
      <c r="E5" s="285"/>
      <c r="F5" s="285"/>
      <c r="G5" s="13" t="s">
        <v>3</v>
      </c>
      <c r="H5" s="320">
        <f>Home!K15</f>
        <v>6870</v>
      </c>
      <c r="I5" s="321"/>
      <c r="J5" s="286" t="s">
        <v>74</v>
      </c>
      <c r="K5" s="286"/>
      <c r="L5" s="286"/>
      <c r="M5" s="286"/>
      <c r="N5" s="136">
        <f>Home!K18</f>
        <v>40210</v>
      </c>
      <c r="O5" s="283"/>
      <c r="P5" s="91"/>
      <c r="Q5" s="91"/>
      <c r="R5" s="217">
        <f>MIN(R3:R4)</f>
        <v>41292</v>
      </c>
      <c r="S5" s="94"/>
    </row>
    <row r="6" spans="1:19" ht="17.25" customHeight="1">
      <c r="A6" s="15"/>
      <c r="B6" s="14">
        <v>7</v>
      </c>
      <c r="C6" s="322" t="s">
        <v>198</v>
      </c>
      <c r="D6" s="323"/>
      <c r="E6" s="323"/>
      <c r="F6" s="324"/>
      <c r="G6" s="13" t="s">
        <v>3</v>
      </c>
      <c r="H6" s="320">
        <f>Home!K16</f>
        <v>0</v>
      </c>
      <c r="I6" s="321"/>
      <c r="J6" s="303" t="s">
        <v>199</v>
      </c>
      <c r="K6" s="304"/>
      <c r="L6" s="305"/>
      <c r="M6" s="77" t="s">
        <v>3</v>
      </c>
      <c r="N6" s="78">
        <f>Home!K17</f>
        <v>0</v>
      </c>
      <c r="O6" s="283"/>
      <c r="P6" s="91"/>
      <c r="Q6" s="91"/>
      <c r="R6" s="91"/>
      <c r="S6" s="94"/>
    </row>
    <row r="7" spans="1:24" ht="17.25" customHeight="1">
      <c r="A7" s="15"/>
      <c r="B7" s="14">
        <v>9</v>
      </c>
      <c r="C7" s="285" t="s">
        <v>18</v>
      </c>
      <c r="D7" s="285"/>
      <c r="E7" s="285"/>
      <c r="F7" s="285"/>
      <c r="G7" s="13" t="s">
        <v>3</v>
      </c>
      <c r="H7" s="313" t="str">
        <f>Home!K20</f>
        <v>5300-9110</v>
      </c>
      <c r="I7" s="313"/>
      <c r="J7" s="286" t="s">
        <v>200</v>
      </c>
      <c r="K7" s="286"/>
      <c r="L7" s="286"/>
      <c r="M7" s="286" t="str">
        <f>Home!K21</f>
        <v>10470 - 26870</v>
      </c>
      <c r="N7" s="286"/>
      <c r="O7" s="283"/>
      <c r="P7" s="125"/>
      <c r="Q7" s="125"/>
      <c r="R7" s="125"/>
      <c r="S7" s="126"/>
      <c r="T7" s="127"/>
      <c r="U7" s="127"/>
      <c r="V7" s="127"/>
      <c r="W7" s="127"/>
      <c r="X7" s="127"/>
    </row>
    <row r="8" spans="1:24" ht="17.25" customHeight="1">
      <c r="A8" s="15"/>
      <c r="B8" s="14">
        <v>11</v>
      </c>
      <c r="C8" s="285" t="s">
        <v>27</v>
      </c>
      <c r="D8" s="285"/>
      <c r="E8" s="285"/>
      <c r="F8" s="285"/>
      <c r="G8" s="13" t="s">
        <v>3</v>
      </c>
      <c r="H8" s="296">
        <f>IF(Home!K23=0," ",Home!K23)</f>
        <v>40781</v>
      </c>
      <c r="I8" s="296"/>
      <c r="J8" s="296"/>
      <c r="K8" s="296"/>
      <c r="L8" s="296"/>
      <c r="M8" s="18"/>
      <c r="N8" s="18"/>
      <c r="O8" s="283"/>
      <c r="P8" s="125"/>
      <c r="Q8" s="125"/>
      <c r="R8" s="125"/>
      <c r="S8" s="126"/>
      <c r="T8" s="127"/>
      <c r="U8" s="127"/>
      <c r="V8" s="127"/>
      <c r="W8" s="127"/>
      <c r="X8" s="127"/>
    </row>
    <row r="9" spans="1:24" ht="17.25" customHeight="1">
      <c r="A9" s="16"/>
      <c r="B9" s="14">
        <v>12</v>
      </c>
      <c r="C9" s="285" t="s">
        <v>75</v>
      </c>
      <c r="D9" s="285"/>
      <c r="E9" s="285"/>
      <c r="F9" s="285"/>
      <c r="G9" s="13" t="s">
        <v>3</v>
      </c>
      <c r="H9" s="296" t="str">
        <f>IF(Home!K23=0," ",Home!K25)</f>
        <v>6690-11070</v>
      </c>
      <c r="I9" s="296"/>
      <c r="J9" s="296" t="s">
        <v>201</v>
      </c>
      <c r="K9" s="296"/>
      <c r="L9" s="296"/>
      <c r="M9" s="296" t="str">
        <f>IF(Home!K23=0," ",Home!K26)</f>
        <v>13560 - 29670</v>
      </c>
      <c r="N9" s="296"/>
      <c r="O9" s="283"/>
      <c r="P9" s="125"/>
      <c r="Q9" s="125"/>
      <c r="R9" s="125"/>
      <c r="S9" s="126"/>
      <c r="T9" s="127"/>
      <c r="U9" s="127"/>
      <c r="V9" s="127"/>
      <c r="W9" s="127"/>
      <c r="X9" s="127"/>
    </row>
    <row r="10" spans="1:24" ht="15" customHeight="1">
      <c r="A10" s="15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283"/>
      <c r="P10" s="128"/>
      <c r="Q10" s="128"/>
      <c r="R10" s="128"/>
      <c r="S10" s="126"/>
      <c r="T10" s="127"/>
      <c r="U10" s="127"/>
      <c r="V10" s="127"/>
      <c r="W10" s="127"/>
      <c r="X10" s="127"/>
    </row>
    <row r="11" spans="1:42" ht="93.75" customHeight="1">
      <c r="A11" s="15"/>
      <c r="B11" s="206" t="s">
        <v>28</v>
      </c>
      <c r="C11" s="207" t="s">
        <v>65</v>
      </c>
      <c r="D11" s="138" t="s">
        <v>33</v>
      </c>
      <c r="E11" s="139" t="s">
        <v>66</v>
      </c>
      <c r="F11" s="297" t="s">
        <v>67</v>
      </c>
      <c r="G11" s="298"/>
      <c r="H11" s="140" t="s">
        <v>68</v>
      </c>
      <c r="I11" s="140" t="s">
        <v>76</v>
      </c>
      <c r="J11" s="140" t="s">
        <v>69</v>
      </c>
      <c r="K11" s="141" t="s">
        <v>36</v>
      </c>
      <c r="L11" s="140" t="s">
        <v>248</v>
      </c>
      <c r="M11" s="215" t="str">
        <f>R175</f>
        <v>Revised pay as on 01/02/2013</v>
      </c>
      <c r="N11" s="142" t="s">
        <v>70</v>
      </c>
      <c r="O11" s="283"/>
      <c r="P11" s="129"/>
      <c r="Q11" s="129"/>
      <c r="R11" s="129"/>
      <c r="S11" s="126"/>
      <c r="T11" s="127"/>
      <c r="U11" s="130"/>
      <c r="V11" s="131"/>
      <c r="W11" s="131"/>
      <c r="X11" s="132"/>
      <c r="Y11" s="25"/>
      <c r="Z11" s="25"/>
      <c r="AA11" s="25"/>
      <c r="AB11" s="25"/>
      <c r="AC11" s="25"/>
      <c r="AD11" s="26"/>
      <c r="AE11" s="26"/>
      <c r="AF11" s="26"/>
      <c r="AH11" s="22"/>
      <c r="AI11" s="22"/>
      <c r="AJ11" s="22"/>
      <c r="AK11" s="21"/>
      <c r="AL11" s="22"/>
      <c r="AM11" s="22"/>
      <c r="AN11" s="22"/>
      <c r="AO11" s="22"/>
      <c r="AP11" s="22"/>
    </row>
    <row r="12" spans="1:42" ht="19.5" customHeight="1">
      <c r="A12" s="15"/>
      <c r="B12" s="208">
        <f>IF(C12=" "," ",1)</f>
        <v>1</v>
      </c>
      <c r="C12" s="209">
        <f>IF(ISNUMBER(H161),H161," ")</f>
        <v>39995</v>
      </c>
      <c r="D12" s="143" t="str">
        <f>IF(C12=" "," ",H162)</f>
        <v>Lower Post</v>
      </c>
      <c r="E12" s="143">
        <f>IF(C12=" "," ",H163)</f>
        <v>3</v>
      </c>
      <c r="F12" s="301">
        <f>IF(C12=" "," ",H164)</f>
        <v>6870</v>
      </c>
      <c r="G12" s="302"/>
      <c r="H12" s="151">
        <f>IF(C12=" "," ",H165)</f>
        <v>4397</v>
      </c>
      <c r="I12" s="152">
        <f>IF(C12=" "," ",H166)</f>
        <v>1000</v>
      </c>
      <c r="J12" s="153">
        <f>IF(C12=" "," ",H167)</f>
        <v>103</v>
      </c>
      <c r="K12" s="151">
        <f>IF(C12=" "," ",H168)</f>
        <v>12370</v>
      </c>
      <c r="L12" s="151" t="str">
        <f>IF(C12=" "," ",H181)</f>
        <v>12540/-</v>
      </c>
      <c r="M12" s="169" t="str">
        <f>IF(C12=" "," ",U175)</f>
        <v>14280/-</v>
      </c>
      <c r="N12" s="155"/>
      <c r="O12" s="283"/>
      <c r="P12" s="95"/>
      <c r="Q12" s="95"/>
      <c r="R12" s="92"/>
      <c r="S12" s="126"/>
      <c r="T12" s="127"/>
      <c r="U12" s="130"/>
      <c r="V12" s="131"/>
      <c r="W12" s="131"/>
      <c r="X12" s="132"/>
      <c r="Y12" s="25"/>
      <c r="Z12" s="25"/>
      <c r="AA12" s="25"/>
      <c r="AB12" s="25"/>
      <c r="AC12" s="25"/>
      <c r="AD12" s="26"/>
      <c r="AE12" s="26"/>
      <c r="AF12" s="26"/>
      <c r="AH12" s="22"/>
      <c r="AI12" s="22"/>
      <c r="AJ12" s="22"/>
      <c r="AK12" s="21"/>
      <c r="AL12" s="22"/>
      <c r="AM12" s="22"/>
      <c r="AN12" s="22"/>
      <c r="AO12" s="22"/>
      <c r="AP12" s="22"/>
    </row>
    <row r="13" spans="1:29" ht="19.5" customHeight="1">
      <c r="A13" s="15"/>
      <c r="B13" s="210">
        <f>IF(C13=" "," ",2)</f>
        <v>2</v>
      </c>
      <c r="C13" s="211">
        <f>IF(I161&gt;R2," ",IF(ISNUMBER(I161),I161," "))</f>
        <v>40210</v>
      </c>
      <c r="D13" s="144" t="str">
        <f>IF(C13=" "," ",I162)</f>
        <v>Lower Post</v>
      </c>
      <c r="E13" s="145">
        <f>IF(C13=" "," ",I163)</f>
        <v>3</v>
      </c>
      <c r="F13" s="294">
        <f>IF(C13=" "," ",I164)</f>
        <v>7050</v>
      </c>
      <c r="G13" s="294"/>
      <c r="H13" s="149">
        <f>IF(C13=" "," ",I165)</f>
        <v>4512</v>
      </c>
      <c r="I13" s="149">
        <f>IF(C13=" "," ",I166)</f>
        <v>1000</v>
      </c>
      <c r="J13" s="148">
        <f>IF(C13=" "," ",I167)</f>
        <v>106</v>
      </c>
      <c r="K13" s="154">
        <f>IF(C13=" "," ",I168)</f>
        <v>12668</v>
      </c>
      <c r="L13" s="149" t="str">
        <f>IF(C13=" "," ",I181)</f>
        <v>12870/-</v>
      </c>
      <c r="M13" s="170" t="str">
        <f>IF(C13=" "," ",V175)</f>
        <v>14280/-</v>
      </c>
      <c r="N13" s="149"/>
      <c r="O13" s="283"/>
      <c r="P13" s="95"/>
      <c r="Q13" s="95"/>
      <c r="R13" s="93"/>
      <c r="S13" s="126"/>
      <c r="T13" s="127"/>
      <c r="U13" s="133"/>
      <c r="V13" s="134"/>
      <c r="W13" s="134"/>
      <c r="X13" s="134"/>
      <c r="Y13" s="29"/>
      <c r="Z13" s="29"/>
      <c r="AA13" s="29"/>
      <c r="AB13" s="29"/>
      <c r="AC13" s="29"/>
    </row>
    <row r="14" spans="1:29" ht="19.5" customHeight="1">
      <c r="A14" s="15"/>
      <c r="B14" s="212">
        <f>IF(C14=" "," ",3)</f>
        <v>3</v>
      </c>
      <c r="C14" s="211">
        <f>IF(J161&gt;R2," ",IF(ISNUMBER(J161),J161," "))</f>
        <v>40226</v>
      </c>
      <c r="D14" s="145" t="str">
        <f>IF(C14=" "," ",J162)</f>
        <v>Lower Post</v>
      </c>
      <c r="E14" s="147">
        <f>IF(C14=" "," ",J163)</f>
        <v>4</v>
      </c>
      <c r="F14" s="293">
        <f>IF(C14=" "," ",J164)</f>
        <v>7050</v>
      </c>
      <c r="G14" s="294"/>
      <c r="H14" s="149">
        <f>IF(C14=" "," ",J165)</f>
        <v>4512</v>
      </c>
      <c r="I14" s="148">
        <f>IF(C14=" "," ",J166)</f>
        <v>1000</v>
      </c>
      <c r="J14" s="148">
        <f>IF(C14=" "," ",J167)</f>
        <v>141</v>
      </c>
      <c r="K14" s="154">
        <f>IF(C14=" "," ",J168)</f>
        <v>12703</v>
      </c>
      <c r="L14" s="149" t="str">
        <f>IF(C14=" "," ",J181)</f>
        <v>12870/-</v>
      </c>
      <c r="M14" s="170" t="str">
        <f>IF(C14=" "," ",W175)</f>
        <v>14280/-</v>
      </c>
      <c r="N14" s="149"/>
      <c r="O14" s="283"/>
      <c r="P14" s="95"/>
      <c r="Q14" s="95"/>
      <c r="R14" s="93"/>
      <c r="S14" s="126"/>
      <c r="T14" s="127"/>
      <c r="U14" s="127"/>
      <c r="V14" s="127"/>
      <c r="W14" s="127"/>
      <c r="X14" s="127"/>
      <c r="AC14" s="29"/>
    </row>
    <row r="15" spans="1:29" ht="19.5" customHeight="1">
      <c r="A15" s="15"/>
      <c r="B15" s="213">
        <f>IF(C15=" "," ",4)</f>
        <v>4</v>
      </c>
      <c r="C15" s="214">
        <f>IF(K161&gt;R2," ",IF(ISNUMBER(K161),K161," "))</f>
        <v>40575</v>
      </c>
      <c r="D15" s="144" t="str">
        <f>IF(C15=" "," ",K162)</f>
        <v>Lower Post</v>
      </c>
      <c r="E15" s="144">
        <f>IF(C15=" "," ",K163)</f>
        <v>4</v>
      </c>
      <c r="F15" s="293">
        <f>IF(C15=" "," ",K164)</f>
        <v>7230</v>
      </c>
      <c r="G15" s="294"/>
      <c r="H15" s="148">
        <f>IF(C15=" "," ",K165)</f>
        <v>4627</v>
      </c>
      <c r="I15" s="150">
        <f>IF(C15=" "," ",K166)</f>
        <v>1000</v>
      </c>
      <c r="J15" s="148">
        <f>IF(C15=" "," ",K167)</f>
        <v>145</v>
      </c>
      <c r="K15" s="154">
        <f>IF(C15=" "," ",K168)</f>
        <v>13002</v>
      </c>
      <c r="L15" s="149" t="str">
        <f>IF(C15=" "," ",K181)</f>
        <v>13200/-</v>
      </c>
      <c r="M15" s="148" t="str">
        <f>IF(C15=" "," ",X175)</f>
        <v>14280/-</v>
      </c>
      <c r="N15" s="137"/>
      <c r="O15" s="283"/>
      <c r="P15" s="95"/>
      <c r="Q15" s="95"/>
      <c r="R15" s="93"/>
      <c r="S15" s="126"/>
      <c r="T15" s="127"/>
      <c r="U15" s="127"/>
      <c r="V15" s="127"/>
      <c r="W15" s="127"/>
      <c r="X15" s="127"/>
      <c r="AC15" s="29"/>
    </row>
    <row r="16" spans="1:29" ht="19.5" customHeight="1">
      <c r="A16" s="15"/>
      <c r="B16" s="213">
        <f>IF(C16=" "," ",5)</f>
        <v>5</v>
      </c>
      <c r="C16" s="211">
        <f>IF(L161&gt;R2," ",IF(ISNUMBER(L161),L161," "))</f>
        <v>40591</v>
      </c>
      <c r="D16" s="145" t="str">
        <f>IF(C16=" "," ",L162)</f>
        <v>Lower Post</v>
      </c>
      <c r="E16" s="146">
        <f>IF(C16=" "," ",L163)</f>
        <v>5</v>
      </c>
      <c r="F16" s="293">
        <f>IF(C16=" "," ",L164)</f>
        <v>7230</v>
      </c>
      <c r="G16" s="294"/>
      <c r="H16" s="149">
        <f>IF(C16=" "," ",L165)</f>
        <v>4627</v>
      </c>
      <c r="I16" s="149">
        <f>IF(C16=" "," ",L166)</f>
        <v>1000</v>
      </c>
      <c r="J16" s="149">
        <f>IF(C16=" "," ",L167)</f>
        <v>181</v>
      </c>
      <c r="K16" s="149">
        <f>IF(C16=" "," ",L168)</f>
        <v>13038</v>
      </c>
      <c r="L16" s="149" t="str">
        <f>IF(C16=" "," ",L181)</f>
        <v>13200/-</v>
      </c>
      <c r="M16" s="170" t="str">
        <f>IF(C16=" "," ",Y175)</f>
        <v>14280/-</v>
      </c>
      <c r="N16" s="149"/>
      <c r="O16" s="283"/>
      <c r="P16" s="95"/>
      <c r="Q16" s="95"/>
      <c r="R16" s="93"/>
      <c r="S16" s="135"/>
      <c r="T16" s="127"/>
      <c r="U16" s="127"/>
      <c r="V16" s="127"/>
      <c r="W16" s="127"/>
      <c r="X16" s="127"/>
      <c r="AC16" s="31"/>
    </row>
    <row r="17" spans="1:29" ht="19.5" customHeight="1">
      <c r="A17" s="15"/>
      <c r="B17" s="213">
        <f>IF(C17=" "," ",6)</f>
        <v>6</v>
      </c>
      <c r="C17" s="211">
        <f>IF(M161&gt;R2," ",IF(ISNUMBER(M161),M161," "))</f>
        <v>40781</v>
      </c>
      <c r="D17" s="144" t="str">
        <f>IF(C17=" "," ",M162)</f>
        <v>Lower Post</v>
      </c>
      <c r="E17" s="144">
        <f>IF(C17=" "," ",M163)</f>
        <v>5</v>
      </c>
      <c r="F17" s="293">
        <f>IF(C17=" "," ",M164)</f>
        <v>7230</v>
      </c>
      <c r="G17" s="294"/>
      <c r="H17" s="149">
        <f>IF(C17=" "," ",M165)</f>
        <v>4627</v>
      </c>
      <c r="I17" s="148">
        <f>IF(C17=" "," ",M166)</f>
        <v>1000</v>
      </c>
      <c r="J17" s="148">
        <f>IF(C17=" "," ",M167)</f>
        <v>181</v>
      </c>
      <c r="K17" s="154">
        <f>IF(C17=" "," ",M168)</f>
        <v>13038</v>
      </c>
      <c r="L17" s="149" t="str">
        <f>IF(C17=" "," ",M181)</f>
        <v>13200/-</v>
      </c>
      <c r="M17" s="170" t="str">
        <f>IF(C17=" "," ",Z175)</f>
        <v>14280/-</v>
      </c>
      <c r="N17" s="149"/>
      <c r="O17" s="283"/>
      <c r="P17" s="95"/>
      <c r="Q17" s="95"/>
      <c r="R17" s="93"/>
      <c r="S17" s="135"/>
      <c r="T17" s="127"/>
      <c r="U17" s="127"/>
      <c r="V17" s="127"/>
      <c r="W17" s="127"/>
      <c r="X17" s="127"/>
      <c r="AC17" s="31"/>
    </row>
    <row r="18" spans="1:29" ht="19.5" customHeight="1">
      <c r="A18" s="15"/>
      <c r="B18" s="213">
        <f>IF(C18=" "," ",7)</f>
        <v>7</v>
      </c>
      <c r="C18" s="211">
        <f>IF(N161&gt;R2," ",IF(ISNUMBER(N161),N161," "))</f>
        <v>40781</v>
      </c>
      <c r="D18" s="144" t="str">
        <f>IF(C18=" "," ",N162)</f>
        <v>Higher Post Option A</v>
      </c>
      <c r="E18" s="144">
        <f>IF(C18=" "," ",N163)</f>
        <v>5</v>
      </c>
      <c r="F18" s="293">
        <f>IF(C18=" "," ",N164)</f>
        <v>7600</v>
      </c>
      <c r="G18" s="294"/>
      <c r="H18" s="149">
        <f>IF(C18=" "," ",N165)</f>
        <v>4864</v>
      </c>
      <c r="I18" s="149">
        <f>IF(C18=" "," ",N166)</f>
        <v>1000</v>
      </c>
      <c r="J18" s="149">
        <f>IF(C18=" "," ",N167)</f>
        <v>190</v>
      </c>
      <c r="K18" s="149">
        <f>IF(C18=" "," ",N168)</f>
        <v>13654</v>
      </c>
      <c r="L18" s="148" t="str">
        <f>IF(C18=" "," ",N181)</f>
        <v>13920/-</v>
      </c>
      <c r="M18" s="171" t="str">
        <f>IF(C18=" "," ",AA175)</f>
        <v>14280/-</v>
      </c>
      <c r="N18" s="149"/>
      <c r="O18" s="283"/>
      <c r="P18" s="95"/>
      <c r="Q18" s="95"/>
      <c r="R18" s="93"/>
      <c r="S18" s="135"/>
      <c r="T18" s="127"/>
      <c r="U18" s="127"/>
      <c r="V18" s="127"/>
      <c r="W18" s="127"/>
      <c r="X18" s="127"/>
      <c r="AC18" s="31"/>
    </row>
    <row r="19" spans="1:29" ht="19.5" customHeight="1">
      <c r="A19" s="15"/>
      <c r="B19" s="213">
        <f>IF(C19=" "," ",8)</f>
        <v>8</v>
      </c>
      <c r="C19" s="211">
        <f>IF(O161&gt;R2," ",IF(ISNUMBER(O161),O161," "))</f>
        <v>40940</v>
      </c>
      <c r="D19" s="144" t="str">
        <f>IF(C19=" "," ",O162)</f>
        <v>Higher Post Option B</v>
      </c>
      <c r="E19" s="144">
        <f>IF(C19=" "," ",O163)</f>
        <v>5</v>
      </c>
      <c r="F19" s="293">
        <f>IF(C19=" "," ",O164)</f>
        <v>7790</v>
      </c>
      <c r="G19" s="294"/>
      <c r="H19" s="149">
        <f>IF(C19=" "," ",O165)</f>
        <v>4986</v>
      </c>
      <c r="I19" s="149">
        <f>IF(C19=" "," ",O166)</f>
        <v>1000</v>
      </c>
      <c r="J19" s="149">
        <f>IF(C19=" "," ",O167)</f>
        <v>195</v>
      </c>
      <c r="K19" s="149">
        <f>IF(C19=" "," ",O168)</f>
        <v>13971</v>
      </c>
      <c r="L19" s="149" t="str">
        <f>IF(C19=" "," ",O181)</f>
        <v>14280/-</v>
      </c>
      <c r="M19" s="170" t="str">
        <f>IF(C19=" "," ",AB175)</f>
        <v>14640/-</v>
      </c>
      <c r="N19" s="149"/>
      <c r="O19" s="283"/>
      <c r="P19" s="95"/>
      <c r="Q19" s="95"/>
      <c r="R19" s="93"/>
      <c r="S19" s="135"/>
      <c r="T19" s="127"/>
      <c r="U19" s="127"/>
      <c r="V19" s="127"/>
      <c r="W19" s="127"/>
      <c r="X19" s="127"/>
      <c r="AC19" s="31"/>
    </row>
    <row r="20" spans="1:29" ht="19.5" customHeight="1">
      <c r="A20" s="15"/>
      <c r="B20" s="213" t="str">
        <f>IF(C20=" "," ",9)</f>
        <v> </v>
      </c>
      <c r="C20" s="211" t="str">
        <f>IF(P161&gt;R2," ",IF(ISNUMBER(P161),P161," "))</f>
        <v> </v>
      </c>
      <c r="D20" s="144" t="str">
        <f>IF(C20=" "," ",P162)</f>
        <v> </v>
      </c>
      <c r="E20" s="144" t="str">
        <f>IF(C20=" "," ",P163)</f>
        <v> </v>
      </c>
      <c r="F20" s="293" t="str">
        <f>IF(C20=" "," ",P164)</f>
        <v> </v>
      </c>
      <c r="G20" s="295"/>
      <c r="H20" s="150" t="str">
        <f>IF(C20=" "," ",P165)</f>
        <v> </v>
      </c>
      <c r="I20" s="149" t="str">
        <f>IF(C20=" "," ",P166)</f>
        <v> </v>
      </c>
      <c r="J20" s="149" t="str">
        <f>IF(C20=" "," ",P167)</f>
        <v> </v>
      </c>
      <c r="K20" s="149" t="str">
        <f>IF(C20=" "," ",P168)</f>
        <v> </v>
      </c>
      <c r="L20" s="149" t="str">
        <f>IF(C20=" "," ",P181)</f>
        <v> </v>
      </c>
      <c r="M20" s="148" t="str">
        <f>IF(C20=" "," ",AC175)</f>
        <v> </v>
      </c>
      <c r="N20" s="150"/>
      <c r="O20" s="283"/>
      <c r="P20" s="95"/>
      <c r="Q20" s="95"/>
      <c r="R20" s="93"/>
      <c r="S20" s="135"/>
      <c r="T20" s="127"/>
      <c r="U20" s="127"/>
      <c r="V20" s="127"/>
      <c r="W20" s="127"/>
      <c r="X20" s="127"/>
      <c r="AC20" s="31"/>
    </row>
    <row r="21" spans="1:29" ht="19.5" customHeight="1">
      <c r="A21" s="15"/>
      <c r="B21" s="213" t="str">
        <f>IF(C21=" "," ",10)</f>
        <v> </v>
      </c>
      <c r="C21" s="211" t="str">
        <f>IF(ISNUMBER(Q161),Q161," ")</f>
        <v> </v>
      </c>
      <c r="D21" s="144" t="str">
        <f>IF(C21=" "," ",Q162)</f>
        <v> </v>
      </c>
      <c r="E21" s="144" t="str">
        <f>IF(C21=" "," ",Q163)</f>
        <v> </v>
      </c>
      <c r="F21" s="293" t="str">
        <f>IF(C21=" "," ",Q164)</f>
        <v> </v>
      </c>
      <c r="G21" s="294"/>
      <c r="H21" s="149" t="str">
        <f>IF(C21=" "," ",Q165)</f>
        <v> </v>
      </c>
      <c r="I21" s="149" t="str">
        <f>IF(C21=" "," ",Q166)</f>
        <v> </v>
      </c>
      <c r="J21" s="149" t="str">
        <f>IF(C21=" "," ",Q167)</f>
        <v> </v>
      </c>
      <c r="K21" s="149" t="str">
        <f>IF(C21=" "," ",Q168)</f>
        <v> </v>
      </c>
      <c r="L21" s="149" t="str">
        <f>IF(C21=" "," ",Q181)</f>
        <v> </v>
      </c>
      <c r="M21" s="170" t="str">
        <f>IF(C21=" "," ",AD175)</f>
        <v> </v>
      </c>
      <c r="N21" s="149"/>
      <c r="O21" s="283"/>
      <c r="P21" s="95"/>
      <c r="Q21" s="95"/>
      <c r="R21" s="93"/>
      <c r="S21" s="135"/>
      <c r="T21" s="127"/>
      <c r="U21" s="127"/>
      <c r="V21" s="127"/>
      <c r="W21" s="127"/>
      <c r="X21" s="127"/>
      <c r="AC21" s="31"/>
    </row>
    <row r="22" spans="1:66" ht="22.5" customHeight="1">
      <c r="A22" s="15"/>
      <c r="B22" s="299" t="str">
        <f>CONCATENATE("Your Best Option Date is ",TEXT(S176,"dd/MM/yyyy"),)</f>
        <v>Your Best Option Date is 01/02/2012</v>
      </c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283"/>
      <c r="P22" s="96"/>
      <c r="Q22" s="96"/>
      <c r="R22" s="96"/>
      <c r="S22" s="126"/>
      <c r="T22" s="127"/>
      <c r="U22" s="127"/>
      <c r="V22" s="127"/>
      <c r="W22" s="127"/>
      <c r="X22" s="127"/>
      <c r="AC22" s="31"/>
      <c r="BJ22" s="30">
        <f>BD88</f>
        <v>0</v>
      </c>
      <c r="BK22" s="30">
        <f>BE88</f>
        <v>0</v>
      </c>
      <c r="BL22" s="23"/>
      <c r="BM22" s="23">
        <f>VALUE(LEFT(Home!K20,(FIND("-",Home!K20))-1))</f>
        <v>5300</v>
      </c>
      <c r="BN22" s="56">
        <f>IF(BD88=BM22,1,0)</f>
        <v>0</v>
      </c>
    </row>
    <row r="23" spans="1:66" ht="33.75" customHeight="1" thickBot="1">
      <c r="A23" s="15"/>
      <c r="B23" s="312" t="s">
        <v>249</v>
      </c>
      <c r="C23" s="312"/>
      <c r="D23" s="312"/>
      <c r="E23" s="312"/>
      <c r="F23" s="312"/>
      <c r="G23" s="312"/>
      <c r="H23" s="312"/>
      <c r="I23" s="312"/>
      <c r="J23" s="312"/>
      <c r="K23" s="312"/>
      <c r="L23" s="288" t="s">
        <v>235</v>
      </c>
      <c r="M23" s="288"/>
      <c r="N23" s="289"/>
      <c r="O23" s="283"/>
      <c r="P23" s="96"/>
      <c r="Q23" s="96"/>
      <c r="R23" s="96"/>
      <c r="S23" s="94"/>
      <c r="AC23" s="40"/>
      <c r="BJ23" s="30">
        <f>BD91</f>
        <v>0</v>
      </c>
      <c r="BK23" s="30">
        <f>BE91</f>
        <v>0</v>
      </c>
      <c r="BL23" s="23"/>
      <c r="BM23" s="23"/>
      <c r="BN23" s="23"/>
    </row>
    <row r="24" spans="1:66" ht="27.75" customHeight="1" thickBot="1">
      <c r="A24" s="15"/>
      <c r="B24" s="60"/>
      <c r="C24" s="291" t="s">
        <v>180</v>
      </c>
      <c r="D24" s="292"/>
      <c r="E24" s="61"/>
      <c r="H24" s="67"/>
      <c r="I24" s="58"/>
      <c r="J24" s="58"/>
      <c r="K24" s="58"/>
      <c r="L24" s="58"/>
      <c r="M24" s="58"/>
      <c r="N24" s="58"/>
      <c r="O24" s="283"/>
      <c r="P24" s="94"/>
      <c r="Q24" s="94"/>
      <c r="R24" s="94"/>
      <c r="S24" s="94"/>
      <c r="AC24" s="40"/>
      <c r="BJ24" s="30"/>
      <c r="BK24" s="30"/>
      <c r="BL24" s="23"/>
      <c r="BM24" s="23"/>
      <c r="BN24" s="23"/>
    </row>
    <row r="25" spans="1:66" ht="10.5" customHeight="1">
      <c r="A25" s="15"/>
      <c r="B25" s="16"/>
      <c r="C25" s="16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283"/>
      <c r="P25" s="94"/>
      <c r="Q25" s="94"/>
      <c r="R25" s="94"/>
      <c r="S25" s="94"/>
      <c r="AC25" s="40"/>
      <c r="BJ25" s="30" t="e">
        <f>#REF!+BJ24</f>
        <v>#REF!</v>
      </c>
      <c r="BK25" s="30" t="e">
        <f>#REF!+BK24</f>
        <v>#REF!</v>
      </c>
      <c r="BL25" s="23"/>
      <c r="BM25" s="23"/>
      <c r="BN25" s="23"/>
    </row>
    <row r="26" spans="1:66" ht="15" customHeight="1" hidden="1">
      <c r="A26" s="59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290"/>
      <c r="M26" s="290"/>
      <c r="N26" s="290"/>
      <c r="O26" s="62"/>
      <c r="P26" s="59"/>
      <c r="Q26" s="59"/>
      <c r="R26" s="59"/>
      <c r="S26" s="59"/>
      <c r="AC26" s="41"/>
      <c r="BJ26" s="23" t="e">
        <f>IF(BJ25&lt;BJ22,BJ22,IF(BJ25=#REF!,#REF!,#REF!))</f>
        <v>#REF!</v>
      </c>
      <c r="BK26" s="23" t="e">
        <f>IF(BK25&lt;BK22,BK22,IF(BK25=#REF!,#REF!,#REF!))</f>
        <v>#REF!</v>
      </c>
      <c r="BL26" s="23"/>
      <c r="BM26" s="23"/>
      <c r="BN26" s="23"/>
    </row>
    <row r="27" spans="37:88" ht="15" hidden="1">
      <c r="AK27" s="39"/>
      <c r="AL27" s="39"/>
      <c r="AQ27" s="39"/>
      <c r="AR27" s="29"/>
      <c r="AS27" s="172"/>
      <c r="AT27" s="173"/>
      <c r="AU27" s="173"/>
      <c r="AV27" s="173"/>
      <c r="AW27" s="173"/>
      <c r="AX27" s="173"/>
      <c r="AY27" s="173"/>
      <c r="AZ27" s="173"/>
      <c r="BA27" s="133"/>
      <c r="BB27" s="133"/>
      <c r="BC27" s="133"/>
      <c r="BD27" s="133"/>
      <c r="BE27" s="133"/>
      <c r="BF27" s="133"/>
      <c r="BG27" s="133"/>
      <c r="BH27" s="133"/>
      <c r="BI27" s="13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</row>
    <row r="28" spans="8:88" ht="15" hidden="1">
      <c r="H28" s="311" t="s">
        <v>192</v>
      </c>
      <c r="I28" s="311"/>
      <c r="J28" s="311"/>
      <c r="K28" s="311"/>
      <c r="L28" s="311"/>
      <c r="M28" s="311"/>
      <c r="N28" s="311"/>
      <c r="AK28" s="39"/>
      <c r="AL28" s="39"/>
      <c r="AQ28" s="39"/>
      <c r="AR28" s="29"/>
      <c r="AS28" s="172"/>
      <c r="AT28" s="173"/>
      <c r="AU28" s="173"/>
      <c r="AV28" s="173"/>
      <c r="AW28" s="173"/>
      <c r="AX28" s="173"/>
      <c r="AY28" s="173"/>
      <c r="AZ28" s="173"/>
      <c r="BA28" s="133"/>
      <c r="BB28" s="133"/>
      <c r="BC28" s="133"/>
      <c r="BD28" s="133"/>
      <c r="BE28" s="133"/>
      <c r="BF28" s="133"/>
      <c r="BG28" s="133"/>
      <c r="BH28" s="133"/>
      <c r="BI28" s="13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</row>
    <row r="29" spans="3:88" ht="15" hidden="1">
      <c r="C29" s="156"/>
      <c r="D29" s="156">
        <f>DATE(YEAR(I29)+K29+1,MONTH(I29),DAY(I29))</f>
        <v>40226</v>
      </c>
      <c r="F29" s="307" t="s">
        <v>193</v>
      </c>
      <c r="H29" s="27">
        <v>39995</v>
      </c>
      <c r="I29" s="24">
        <f>IF(I4="F. N.",H4+N4,H4+N4+1)</f>
        <v>38765</v>
      </c>
      <c r="J29" s="24">
        <v>39995</v>
      </c>
      <c r="K29" s="75">
        <f aca="true" t="shared" si="0" ref="K29:K39">IF(X29=0,0,IF(X29=89,Y29-1,IF(X29=90,Y29-1,IF(X29=91,Y29-1,IF(X29=99,Y29-1,Y29)))))</f>
        <v>3</v>
      </c>
      <c r="L29" s="25">
        <f aca="true" t="shared" si="1" ref="L29:L39">IF(X29=0,0,IF(X29=9,Z29-1,IF(X29=89,Z29+11,IF(X29=90,Z29+12,IF(X29=91,Z29+12,IF(X29=99,Z29+11,IF(X29=109,Z29-1,Z29)))))))</f>
        <v>4</v>
      </c>
      <c r="M29" s="25">
        <f aca="true" t="shared" si="2" ref="M29:M39">IF(X29=0,0,IF(X29=9,AA29+AB29,IF(X29=89,AA29+AC29,IF(X29=99,AA29+AB29,IF(X29=109,AA29+AC29,AA29)))))</f>
        <v>14</v>
      </c>
      <c r="N29" s="25">
        <f aca="true" t="shared" si="3" ref="N29:N39">FLOOR(K29/2,1)</f>
        <v>1</v>
      </c>
      <c r="O29" s="25">
        <f aca="true" t="shared" si="4" ref="O29:O39">FLOOR((L29+((K29-(N29*2))*12))/2,1)</f>
        <v>8</v>
      </c>
      <c r="P29" s="25">
        <f aca="true" t="shared" si="5" ref="P29:P39">FLOOR((L29+((((K29*12+L29)/2-(N29*12+O29))*2)*30))/2,1)</f>
        <v>2</v>
      </c>
      <c r="Q29" s="26">
        <f aca="true" t="shared" si="6" ref="Q29:Q39">YEAR(I29)-1900</f>
        <v>106</v>
      </c>
      <c r="R29" s="26">
        <f aca="true" t="shared" si="7" ref="R29:R39">MONTH(I29)</f>
        <v>2</v>
      </c>
      <c r="S29" s="26">
        <f aca="true" t="shared" si="8" ref="S29:S39">DAY(I29)</f>
        <v>17</v>
      </c>
      <c r="U29" s="22">
        <f aca="true" t="shared" si="9" ref="U29:U39">YEAR(J29)-1900</f>
        <v>109</v>
      </c>
      <c r="V29" s="22">
        <f aca="true" t="shared" si="10" ref="V29:V39">MONTH(J29)</f>
        <v>7</v>
      </c>
      <c r="W29" s="22">
        <f aca="true" t="shared" si="11" ref="W29:W39">DAY(J29)</f>
        <v>1</v>
      </c>
      <c r="X29" s="21">
        <f aca="true" t="shared" si="12" ref="X29:X39">IF(J29&lt;I29,0,(IF(Y29=0,0,1)*100+IF(Z29=0,0,IF(Z29&lt;0,-1,1))*10+IF(AA29=0,0,IF(AA29&lt;0,-1,1))))</f>
        <v>109</v>
      </c>
      <c r="Y29" s="22">
        <f aca="true" t="shared" si="13" ref="Y29:Y39">U29-Q29</f>
        <v>3</v>
      </c>
      <c r="Z29" s="22">
        <f aca="true" t="shared" si="14" ref="Z29:Z39">V29-R29</f>
        <v>5</v>
      </c>
      <c r="AA29" s="22">
        <f>W29-S29</f>
        <v>-16</v>
      </c>
      <c r="AB29" s="22">
        <f aca="true" t="shared" si="15" ref="AB29:AB39">DAY(DATE(YEAR(I29),MONTH(I29)+1,0))</f>
        <v>28</v>
      </c>
      <c r="AC29" s="22">
        <f aca="true" t="shared" si="16" ref="AC29:AC39">DAY(DATE(YEAR(J29),MONTH(J29),0))</f>
        <v>30</v>
      </c>
      <c r="AK29" s="43"/>
      <c r="AL29" s="43"/>
      <c r="AQ29" s="43"/>
      <c r="AR29" s="29"/>
      <c r="AS29" s="172"/>
      <c r="AT29" s="173"/>
      <c r="AU29" s="173"/>
      <c r="AV29" s="173"/>
      <c r="AW29" s="173"/>
      <c r="AX29" s="173"/>
      <c r="AY29" s="173"/>
      <c r="AZ29" s="173"/>
      <c r="BA29" s="133"/>
      <c r="BB29" s="133"/>
      <c r="BC29" s="133"/>
      <c r="BD29" s="133"/>
      <c r="BE29" s="133"/>
      <c r="BF29" s="133"/>
      <c r="BG29" s="133"/>
      <c r="BH29" s="133"/>
      <c r="BI29" s="13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</row>
    <row r="30" spans="3:88" ht="15" hidden="1">
      <c r="C30" s="156"/>
      <c r="D30" s="156"/>
      <c r="F30" s="307"/>
      <c r="H30" s="27">
        <f>IF(IF(N5&lt;DATE(YEAR(I29)+K29+1,MONTH(I29),DAY(I29)),N5,DATE(YEAR(I29)+K29+1,MONTH(I29),DAY(I29)))=0," ",IF(N5&lt;DATE(YEAR(I29)+K29+1,MONTH(I29),DAY(I29)),N5,DATE(YEAR(I29)+K29+1,MONTH(I29),DAY(I29))))</f>
        <v>40210</v>
      </c>
      <c r="I30" s="24">
        <f aca="true" t="shared" si="17" ref="I30:I40">I29</f>
        <v>38765</v>
      </c>
      <c r="J30" s="24">
        <f>IF(IF(N5&lt;DATE(YEAR(I29)+K29+1,MONTH(I29),DAY(I29)),N5,DATE(YEAR(I29)+K29+1,MONTH(I29),DAY(I29)))=0," ",IF(N5&lt;DATE(YEAR(I29)+K29+1,MONTH(I29),DAY(I29)),N5,DATE(YEAR(I29)+K29+1,MONTH(I29),DAY(I29))))</f>
        <v>40210</v>
      </c>
      <c r="K30" s="75">
        <f t="shared" si="0"/>
        <v>3</v>
      </c>
      <c r="L30" s="25">
        <f t="shared" si="1"/>
        <v>11</v>
      </c>
      <c r="M30" s="25">
        <f t="shared" si="2"/>
        <v>12</v>
      </c>
      <c r="N30" s="25">
        <f t="shared" si="3"/>
        <v>1</v>
      </c>
      <c r="O30" s="25">
        <f t="shared" si="4"/>
        <v>11</v>
      </c>
      <c r="P30" s="25">
        <f t="shared" si="5"/>
        <v>20</v>
      </c>
      <c r="Q30" s="26">
        <f t="shared" si="6"/>
        <v>106</v>
      </c>
      <c r="R30" s="26">
        <f t="shared" si="7"/>
        <v>2</v>
      </c>
      <c r="S30" s="26">
        <f t="shared" si="8"/>
        <v>17</v>
      </c>
      <c r="U30" s="22">
        <f t="shared" si="9"/>
        <v>110</v>
      </c>
      <c r="V30" s="22">
        <f t="shared" si="10"/>
        <v>2</v>
      </c>
      <c r="W30" s="22">
        <f t="shared" si="11"/>
        <v>1</v>
      </c>
      <c r="X30" s="21">
        <f t="shared" si="12"/>
        <v>99</v>
      </c>
      <c r="Y30" s="22">
        <f t="shared" si="13"/>
        <v>4</v>
      </c>
      <c r="Z30" s="22">
        <f t="shared" si="14"/>
        <v>0</v>
      </c>
      <c r="AA30" s="22">
        <f aca="true" t="shared" si="18" ref="AA30:AA39">W30-S30</f>
        <v>-16</v>
      </c>
      <c r="AB30" s="22">
        <f t="shared" si="15"/>
        <v>28</v>
      </c>
      <c r="AC30" s="22">
        <f t="shared" si="16"/>
        <v>31</v>
      </c>
      <c r="AG30" s="28">
        <f>DATE(IF(MONTH(N3)&lt;4,YEAR(N3)+55,IF(MONTH(N3)=4,IF(DAY(N3)=1,YEAR(N3)+55,YEAR(N3)+56),YEAR(N3)+56)),3,31)</f>
        <v>47938</v>
      </c>
      <c r="AH30" s="28"/>
      <c r="AK30" s="43"/>
      <c r="AL30" s="43"/>
      <c r="AQ30" s="43"/>
      <c r="AR30" s="29"/>
      <c r="AS30" s="172"/>
      <c r="AT30" s="173"/>
      <c r="AU30" s="173"/>
      <c r="AV30" s="173"/>
      <c r="AW30" s="173"/>
      <c r="AX30" s="173"/>
      <c r="AY30" s="173"/>
      <c r="AZ30" s="173"/>
      <c r="BA30" s="133"/>
      <c r="BB30" s="133"/>
      <c r="BC30" s="133"/>
      <c r="BD30" s="133"/>
      <c r="BE30" s="133"/>
      <c r="BF30" s="133"/>
      <c r="BG30" s="133"/>
      <c r="BH30" s="133"/>
      <c r="BI30" s="13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</row>
    <row r="31" spans="3:88" ht="15.75" hidden="1">
      <c r="C31" s="156"/>
      <c r="D31" s="156"/>
      <c r="F31" s="307"/>
      <c r="H31" s="27">
        <f>IF(N5&gt;DATE(YEAR(I29)+K29+1,MONTH(I29),DAY(I29)),N5,DATE(YEAR(I29)+K29+1,MONTH(I29),DAY(I29)))</f>
        <v>40226</v>
      </c>
      <c r="I31" s="24">
        <f t="shared" si="17"/>
        <v>38765</v>
      </c>
      <c r="J31" s="24">
        <f>IF(J30=H31,H32,H31)</f>
        <v>40226</v>
      </c>
      <c r="K31" s="75">
        <f t="shared" si="0"/>
        <v>4</v>
      </c>
      <c r="L31" s="25">
        <f t="shared" si="1"/>
        <v>0</v>
      </c>
      <c r="M31" s="25">
        <f t="shared" si="2"/>
        <v>0</v>
      </c>
      <c r="N31" s="25">
        <f t="shared" si="3"/>
        <v>2</v>
      </c>
      <c r="O31" s="25">
        <f t="shared" si="4"/>
        <v>0</v>
      </c>
      <c r="P31" s="25">
        <f t="shared" si="5"/>
        <v>0</v>
      </c>
      <c r="Q31" s="26">
        <f t="shared" si="6"/>
        <v>106</v>
      </c>
      <c r="R31" s="26">
        <f t="shared" si="7"/>
        <v>2</v>
      </c>
      <c r="S31" s="26">
        <f t="shared" si="8"/>
        <v>17</v>
      </c>
      <c r="U31" s="22">
        <f t="shared" si="9"/>
        <v>110</v>
      </c>
      <c r="V31" s="22">
        <f t="shared" si="10"/>
        <v>2</v>
      </c>
      <c r="W31" s="22">
        <f t="shared" si="11"/>
        <v>17</v>
      </c>
      <c r="X31" s="21">
        <f t="shared" si="12"/>
        <v>100</v>
      </c>
      <c r="Y31" s="22">
        <f t="shared" si="13"/>
        <v>4</v>
      </c>
      <c r="Z31" s="22">
        <f t="shared" si="14"/>
        <v>0</v>
      </c>
      <c r="AA31" s="22">
        <f t="shared" si="18"/>
        <v>0</v>
      </c>
      <c r="AB31" s="22">
        <f t="shared" si="15"/>
        <v>28</v>
      </c>
      <c r="AC31" s="22">
        <f t="shared" si="16"/>
        <v>31</v>
      </c>
      <c r="AG31" s="28">
        <f>IF(Home!K23=0," ",IF(AU84=0,AF84,Home!K23))</f>
        <v>15</v>
      </c>
      <c r="AH31" s="28">
        <f>AG30</f>
        <v>47938</v>
      </c>
      <c r="AK31" s="44"/>
      <c r="AL31" s="44"/>
      <c r="AQ31" s="44"/>
      <c r="AR31" s="29"/>
      <c r="AS31" s="172"/>
      <c r="AT31" s="173"/>
      <c r="AU31" s="173"/>
      <c r="AV31" s="173"/>
      <c r="AW31" s="173"/>
      <c r="AX31" s="173"/>
      <c r="AY31" s="173"/>
      <c r="AZ31" s="173"/>
      <c r="BA31" s="133"/>
      <c r="BB31" s="133"/>
      <c r="BC31" s="133"/>
      <c r="BD31" s="174"/>
      <c r="BE31" s="133"/>
      <c r="BF31" s="133"/>
      <c r="BG31" s="133"/>
      <c r="BH31" s="175"/>
      <c r="BI31" s="175"/>
      <c r="BJ31" s="21">
        <f aca="true" t="shared" si="19" ref="BJ31:BJ36">FLOOR(BG50/2,1)</f>
        <v>0</v>
      </c>
      <c r="BK31" s="21">
        <f aca="true" t="shared" si="20" ref="BK31:BK36">FLOOR((BH31+((BG50-(BJ31*2))*12))/2,1)</f>
        <v>0</v>
      </c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</row>
    <row r="32" spans="3:88" ht="15" hidden="1">
      <c r="C32" s="156"/>
      <c r="D32" s="156"/>
      <c r="F32" s="307"/>
      <c r="H32" s="27">
        <f>IF(J30=N5,DATE(YEAR(J30)+1,MONTH(J30),DAY(1)),DATE(YEAR(J30)+1,MONTH(J30),DAY(J30)))</f>
        <v>40575</v>
      </c>
      <c r="I32" s="24">
        <f t="shared" si="17"/>
        <v>38765</v>
      </c>
      <c r="J32" s="24">
        <f>IF(MONTH(D29)=MONTH(N5),IF(DAY(D29)=1,DATE(YEAR(J31)+1,MONTH(J31),DAY(1)),IF(J30=D29,DATE(YEAR(J30)+1,MONTH(J30),DAY(J30)),DATE(YEAR(J30)+1,MONTH(J30),DAY(1)))),IF(J30=D29,DATE(YEAR(J30)+1,MONTH(J30),DAY(J30)),DATE(YEAR(J30)+1,MONTH(J30),DAY(1))))</f>
        <v>40575</v>
      </c>
      <c r="K32" s="75">
        <f t="shared" si="0"/>
        <v>4</v>
      </c>
      <c r="L32" s="25">
        <f t="shared" si="1"/>
        <v>11</v>
      </c>
      <c r="M32" s="25">
        <f t="shared" si="2"/>
        <v>12</v>
      </c>
      <c r="N32" s="25">
        <f t="shared" si="3"/>
        <v>2</v>
      </c>
      <c r="O32" s="25">
        <f t="shared" si="4"/>
        <v>5</v>
      </c>
      <c r="P32" s="25">
        <f t="shared" si="5"/>
        <v>20</v>
      </c>
      <c r="Q32" s="26">
        <f t="shared" si="6"/>
        <v>106</v>
      </c>
      <c r="R32" s="26">
        <f t="shared" si="7"/>
        <v>2</v>
      </c>
      <c r="S32" s="26">
        <f t="shared" si="8"/>
        <v>17</v>
      </c>
      <c r="U32" s="22">
        <f t="shared" si="9"/>
        <v>111</v>
      </c>
      <c r="V32" s="22">
        <f t="shared" si="10"/>
        <v>2</v>
      </c>
      <c r="W32" s="22">
        <f t="shared" si="11"/>
        <v>1</v>
      </c>
      <c r="X32" s="21">
        <f t="shared" si="12"/>
        <v>99</v>
      </c>
      <c r="Y32" s="22">
        <f t="shared" si="13"/>
        <v>5</v>
      </c>
      <c r="Z32" s="22">
        <f t="shared" si="14"/>
        <v>0</v>
      </c>
      <c r="AA32" s="22">
        <f t="shared" si="18"/>
        <v>-16</v>
      </c>
      <c r="AB32" s="22">
        <f t="shared" si="15"/>
        <v>28</v>
      </c>
      <c r="AC32" s="22">
        <f t="shared" si="16"/>
        <v>31</v>
      </c>
      <c r="AG32" s="28">
        <v>41292</v>
      </c>
      <c r="AH32" s="28">
        <v>40926</v>
      </c>
      <c r="AK32" s="39"/>
      <c r="AL32" s="39"/>
      <c r="AQ32" s="39"/>
      <c r="AR32" s="29"/>
      <c r="AS32" s="172"/>
      <c r="AT32" s="173"/>
      <c r="AU32" s="173"/>
      <c r="AV32" s="173"/>
      <c r="AW32" s="173"/>
      <c r="AX32" s="173"/>
      <c r="AY32" s="173"/>
      <c r="AZ32" s="173"/>
      <c r="BA32" s="133"/>
      <c r="BB32" s="133"/>
      <c r="BC32" s="133"/>
      <c r="BD32" s="174"/>
      <c r="BE32" s="133"/>
      <c r="BF32" s="133"/>
      <c r="BG32" s="133"/>
      <c r="BH32" s="175"/>
      <c r="BI32" s="175"/>
      <c r="BJ32" s="21">
        <f t="shared" si="19"/>
        <v>0</v>
      </c>
      <c r="BK32" s="21">
        <f t="shared" si="20"/>
        <v>0</v>
      </c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</row>
    <row r="33" spans="3:88" ht="15" hidden="1">
      <c r="C33" s="156"/>
      <c r="D33" s="156"/>
      <c r="F33" s="307"/>
      <c r="H33" s="27">
        <f>IF(J31=N5,DATE(YEAR(J31)+1,MONTH(J31),DAY(1)),DATE(YEAR(J31)+1,MONTH(J31),DAY(J31)))</f>
        <v>40591</v>
      </c>
      <c r="I33" s="24">
        <f t="shared" si="17"/>
        <v>38765</v>
      </c>
      <c r="J33" s="24">
        <f>IF(MONTH(D29)=MONTH(N5),IF(DAY(D29)=1,DATE(YEAR(J32)+1,MONTH(J32),DAY(1)),IF(J31=D29,DATE(YEAR(J31)+1,MONTH(J31),DAY(J31)),DATE(YEAR(J31)+1,MONTH(J31),DAY(1)))),IF(J31=D29,DATE(YEAR(J31)+1,MONTH(J31),DAY(J31)),DATE(YEAR(J31)+1,MONTH(J31),DAY(1))))</f>
        <v>40591</v>
      </c>
      <c r="K33" s="75">
        <f t="shared" si="0"/>
        <v>5</v>
      </c>
      <c r="L33" s="25">
        <f t="shared" si="1"/>
        <v>0</v>
      </c>
      <c r="M33" s="25">
        <f t="shared" si="2"/>
        <v>0</v>
      </c>
      <c r="N33" s="25">
        <f t="shared" si="3"/>
        <v>2</v>
      </c>
      <c r="O33" s="25">
        <f t="shared" si="4"/>
        <v>6</v>
      </c>
      <c r="P33" s="25">
        <f t="shared" si="5"/>
        <v>0</v>
      </c>
      <c r="Q33" s="26">
        <f t="shared" si="6"/>
        <v>106</v>
      </c>
      <c r="R33" s="26">
        <f t="shared" si="7"/>
        <v>2</v>
      </c>
      <c r="S33" s="26">
        <f t="shared" si="8"/>
        <v>17</v>
      </c>
      <c r="U33" s="22">
        <f t="shared" si="9"/>
        <v>111</v>
      </c>
      <c r="V33" s="22">
        <f t="shared" si="10"/>
        <v>2</v>
      </c>
      <c r="W33" s="22">
        <f t="shared" si="11"/>
        <v>17</v>
      </c>
      <c r="X33" s="21">
        <f t="shared" si="12"/>
        <v>100</v>
      </c>
      <c r="Y33" s="22">
        <f t="shared" si="13"/>
        <v>5</v>
      </c>
      <c r="Z33" s="22">
        <f t="shared" si="14"/>
        <v>0</v>
      </c>
      <c r="AA33" s="22">
        <f t="shared" si="18"/>
        <v>0</v>
      </c>
      <c r="AB33" s="22">
        <f t="shared" si="15"/>
        <v>28</v>
      </c>
      <c r="AC33" s="22">
        <f t="shared" si="16"/>
        <v>31</v>
      </c>
      <c r="AG33" s="28"/>
      <c r="AH33" s="28"/>
      <c r="AK33" s="39"/>
      <c r="AL33" s="39"/>
      <c r="AQ33" s="39"/>
      <c r="AR33" s="29"/>
      <c r="AS33" s="172"/>
      <c r="AT33" s="173"/>
      <c r="AU33" s="173"/>
      <c r="AV33" s="173"/>
      <c r="AW33" s="173"/>
      <c r="AX33" s="173"/>
      <c r="AY33" s="173"/>
      <c r="AZ33" s="173"/>
      <c r="BA33" s="133"/>
      <c r="BB33" s="133"/>
      <c r="BC33" s="133"/>
      <c r="BD33" s="174"/>
      <c r="BE33" s="176"/>
      <c r="BF33" s="133"/>
      <c r="BG33" s="133"/>
      <c r="BH33" s="175"/>
      <c r="BI33" s="175"/>
      <c r="BJ33" s="21">
        <f t="shared" si="19"/>
        <v>0</v>
      </c>
      <c r="BK33" s="21">
        <f t="shared" si="20"/>
        <v>0</v>
      </c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</row>
    <row r="34" spans="3:88" ht="15" hidden="1">
      <c r="C34" s="156"/>
      <c r="D34" s="156"/>
      <c r="F34" s="307"/>
      <c r="H34" s="27">
        <f>DATE(YEAR(J32)+1,MONTH(J32),DAY(J32))</f>
        <v>40940</v>
      </c>
      <c r="I34" s="24">
        <f t="shared" si="17"/>
        <v>38765</v>
      </c>
      <c r="J34" s="24">
        <f>IF(MONTH(D29)=MONTH(N5),IF(DAY(D29)=1,DATE(YEAR(J33)+1,MONTH(J33),DAY(1)),DATE(YEAR(J32)+1,MONTH(J32),DAY(J32))),DATE(YEAR(J32)+1,MONTH(J32),DAY(J32)))</f>
        <v>40940</v>
      </c>
      <c r="K34" s="75">
        <f t="shared" si="0"/>
        <v>5</v>
      </c>
      <c r="L34" s="25">
        <f t="shared" si="1"/>
        <v>11</v>
      </c>
      <c r="M34" s="25">
        <f t="shared" si="2"/>
        <v>12</v>
      </c>
      <c r="N34" s="25">
        <f t="shared" si="3"/>
        <v>2</v>
      </c>
      <c r="O34" s="25">
        <f t="shared" si="4"/>
        <v>11</v>
      </c>
      <c r="P34" s="25">
        <f t="shared" si="5"/>
        <v>20</v>
      </c>
      <c r="Q34" s="26">
        <f t="shared" si="6"/>
        <v>106</v>
      </c>
      <c r="R34" s="26">
        <f t="shared" si="7"/>
        <v>2</v>
      </c>
      <c r="S34" s="26">
        <f t="shared" si="8"/>
        <v>17</v>
      </c>
      <c r="U34" s="22">
        <f t="shared" si="9"/>
        <v>112</v>
      </c>
      <c r="V34" s="22">
        <f t="shared" si="10"/>
        <v>2</v>
      </c>
      <c r="W34" s="22">
        <f t="shared" si="11"/>
        <v>1</v>
      </c>
      <c r="X34" s="21">
        <f t="shared" si="12"/>
        <v>99</v>
      </c>
      <c r="Y34" s="22">
        <f t="shared" si="13"/>
        <v>6</v>
      </c>
      <c r="Z34" s="22">
        <f t="shared" si="14"/>
        <v>0</v>
      </c>
      <c r="AA34" s="22">
        <f t="shared" si="18"/>
        <v>-16</v>
      </c>
      <c r="AB34" s="22">
        <f t="shared" si="15"/>
        <v>28</v>
      </c>
      <c r="AC34" s="22">
        <f t="shared" si="16"/>
        <v>31</v>
      </c>
      <c r="AG34" s="28">
        <f>MIN(AG30:AG33)</f>
        <v>15</v>
      </c>
      <c r="AH34" s="28">
        <f>MIN(AH31:AH33)</f>
        <v>40926</v>
      </c>
      <c r="AK34" s="43"/>
      <c r="AL34" s="43"/>
      <c r="AQ34" s="43"/>
      <c r="AR34" s="29"/>
      <c r="AS34" s="172"/>
      <c r="AT34" s="173"/>
      <c r="AU34" s="173"/>
      <c r="AV34" s="173"/>
      <c r="AW34" s="173"/>
      <c r="AX34" s="173"/>
      <c r="AY34" s="173"/>
      <c r="AZ34" s="173"/>
      <c r="BA34" s="133"/>
      <c r="BB34" s="133"/>
      <c r="BC34" s="133"/>
      <c r="BD34" s="174"/>
      <c r="BE34" s="176"/>
      <c r="BF34" s="133"/>
      <c r="BG34" s="133"/>
      <c r="BH34" s="175"/>
      <c r="BI34" s="175"/>
      <c r="BJ34" s="21">
        <f t="shared" si="19"/>
        <v>0</v>
      </c>
      <c r="BK34" s="21">
        <f t="shared" si="20"/>
        <v>0</v>
      </c>
      <c r="BL34" s="23"/>
      <c r="BM34" s="23"/>
      <c r="BN34" s="23"/>
      <c r="BO34" s="23"/>
      <c r="BP34" s="23"/>
      <c r="BQ34" s="22">
        <f aca="true" t="shared" si="21" ref="BQ34:BQ41">MONTH(BE36)</f>
        <v>1</v>
      </c>
      <c r="BR34" s="22">
        <f aca="true" t="shared" si="22" ref="BR34:BR41">DAY(BE36)</f>
        <v>0</v>
      </c>
      <c r="BS34" s="21">
        <f aca="true" t="shared" si="23" ref="BS34:BS41">IF(BE36&lt;BD36,0,(IF(BT34=0,0,1)*100+IF(BU34=0,0,IF(BU34&lt;0,-1,1))*10+IF(BV34=0,0,IF(BV34&lt;0,-1,1))))</f>
        <v>1</v>
      </c>
      <c r="BT34" s="22">
        <f aca="true" t="shared" si="24" ref="BT34:BT41">BP36-BL36</f>
        <v>0</v>
      </c>
      <c r="BU34" s="22">
        <f aca="true" t="shared" si="25" ref="BU34:BU41">BQ34-BM36</f>
        <v>0</v>
      </c>
      <c r="BV34" s="22">
        <f aca="true" t="shared" si="26" ref="BV34:BV41">BR34-BN36+1</f>
        <v>1</v>
      </c>
      <c r="BW34" s="22">
        <f aca="true" t="shared" si="27" ref="BW34:BW41">DAY(DATE(YEAR(BD36),MONTH(BD36)+1,0))</f>
        <v>31</v>
      </c>
      <c r="BX34" s="22">
        <f aca="true" t="shared" si="28" ref="BX34:BX41">DAY(DATE(YEAR(BE36),MONTH(BE36),0))</f>
        <v>0</v>
      </c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</row>
    <row r="35" spans="3:88" ht="15" hidden="1">
      <c r="C35" s="156"/>
      <c r="D35" s="156"/>
      <c r="F35" s="307"/>
      <c r="H35" s="27">
        <f>DATE(YEAR(J33)+1,MONTH(J33),DAY(J33))</f>
        <v>40956</v>
      </c>
      <c r="I35" s="24">
        <f t="shared" si="17"/>
        <v>38765</v>
      </c>
      <c r="J35" s="24">
        <f>IF(MONTH(D29)=MONTH(N5),IF(DAY(D29)=1,DATE(YEAR(J34)+1,MONTH(J34),DAY(1)),DATE(YEAR(J33)+1,MONTH(J33),DAY(J33))),DATE(YEAR(J33)+1,MONTH(J33),DAY(J33)))</f>
        <v>40956</v>
      </c>
      <c r="K35" s="75">
        <f t="shared" si="0"/>
        <v>6</v>
      </c>
      <c r="L35" s="25">
        <f t="shared" si="1"/>
        <v>0</v>
      </c>
      <c r="M35" s="25">
        <f t="shared" si="2"/>
        <v>0</v>
      </c>
      <c r="N35" s="25">
        <f t="shared" si="3"/>
        <v>3</v>
      </c>
      <c r="O35" s="25">
        <f t="shared" si="4"/>
        <v>0</v>
      </c>
      <c r="P35" s="25">
        <f t="shared" si="5"/>
        <v>0</v>
      </c>
      <c r="Q35" s="26">
        <f t="shared" si="6"/>
        <v>106</v>
      </c>
      <c r="R35" s="26">
        <f t="shared" si="7"/>
        <v>2</v>
      </c>
      <c r="S35" s="26">
        <f t="shared" si="8"/>
        <v>17</v>
      </c>
      <c r="U35" s="22">
        <f t="shared" si="9"/>
        <v>112</v>
      </c>
      <c r="V35" s="22">
        <f t="shared" si="10"/>
        <v>2</v>
      </c>
      <c r="W35" s="22">
        <f t="shared" si="11"/>
        <v>17</v>
      </c>
      <c r="X35" s="21">
        <f t="shared" si="12"/>
        <v>100</v>
      </c>
      <c r="Y35" s="22">
        <f t="shared" si="13"/>
        <v>6</v>
      </c>
      <c r="Z35" s="22">
        <f t="shared" si="14"/>
        <v>0</v>
      </c>
      <c r="AA35" s="22">
        <f t="shared" si="18"/>
        <v>0</v>
      </c>
      <c r="AB35" s="22">
        <f t="shared" si="15"/>
        <v>28</v>
      </c>
      <c r="AC35" s="22">
        <f t="shared" si="16"/>
        <v>31</v>
      </c>
      <c r="AK35" s="43"/>
      <c r="AL35" s="43"/>
      <c r="AQ35" s="43"/>
      <c r="AR35" s="29"/>
      <c r="AS35" s="172"/>
      <c r="AT35" s="173"/>
      <c r="AU35" s="173"/>
      <c r="AV35" s="173"/>
      <c r="AW35" s="173"/>
      <c r="AX35" s="173"/>
      <c r="AY35" s="173"/>
      <c r="AZ35" s="173"/>
      <c r="BA35" s="133"/>
      <c r="BB35" s="133"/>
      <c r="BC35" s="133"/>
      <c r="BD35" s="133"/>
      <c r="BE35" s="133"/>
      <c r="BF35" s="133"/>
      <c r="BG35" s="133"/>
      <c r="BH35" s="175"/>
      <c r="BI35" s="175"/>
      <c r="BJ35" s="21">
        <f t="shared" si="19"/>
        <v>0</v>
      </c>
      <c r="BK35" s="21">
        <f t="shared" si="20"/>
        <v>0</v>
      </c>
      <c r="BL35" s="23"/>
      <c r="BM35" s="23"/>
      <c r="BN35" s="23"/>
      <c r="BO35" s="23"/>
      <c r="BP35" s="23"/>
      <c r="BQ35" s="22">
        <f t="shared" si="21"/>
        <v>1</v>
      </c>
      <c r="BR35" s="22">
        <f t="shared" si="22"/>
        <v>0</v>
      </c>
      <c r="BS35" s="21">
        <f t="shared" si="23"/>
        <v>1</v>
      </c>
      <c r="BT35" s="22">
        <f t="shared" si="24"/>
        <v>0</v>
      </c>
      <c r="BU35" s="22">
        <f t="shared" si="25"/>
        <v>0</v>
      </c>
      <c r="BV35" s="22">
        <f t="shared" si="26"/>
        <v>1</v>
      </c>
      <c r="BW35" s="22">
        <f t="shared" si="27"/>
        <v>31</v>
      </c>
      <c r="BX35" s="22">
        <f t="shared" si="28"/>
        <v>0</v>
      </c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</row>
    <row r="36" spans="3:88" ht="15.75" hidden="1">
      <c r="C36" s="156"/>
      <c r="D36" s="156"/>
      <c r="F36" s="307"/>
      <c r="H36" s="27">
        <f>DATE(YEAR(J34)+1,MONTH(J34),DAY(J34))</f>
        <v>41306</v>
      </c>
      <c r="I36" s="24">
        <f t="shared" si="17"/>
        <v>38765</v>
      </c>
      <c r="J36" s="24">
        <f>IF(MONTH(D29)=MONTH(N5),IF(DAY(D29)=1,DATE(YEAR(J35)+1,MONTH(J35),DAY(1)),DATE(YEAR(J34)+1,MONTH(J34),DAY(J34))),DATE(YEAR(J34)+1,MONTH(J34),DAY(J34)))</f>
        <v>41306</v>
      </c>
      <c r="K36" s="75">
        <f t="shared" si="0"/>
        <v>6</v>
      </c>
      <c r="L36" s="25">
        <f t="shared" si="1"/>
        <v>11</v>
      </c>
      <c r="M36" s="25">
        <f t="shared" si="2"/>
        <v>12</v>
      </c>
      <c r="N36" s="25">
        <f t="shared" si="3"/>
        <v>3</v>
      </c>
      <c r="O36" s="25">
        <f t="shared" si="4"/>
        <v>5</v>
      </c>
      <c r="P36" s="25">
        <f t="shared" si="5"/>
        <v>20</v>
      </c>
      <c r="Q36" s="26">
        <f t="shared" si="6"/>
        <v>106</v>
      </c>
      <c r="R36" s="26">
        <f t="shared" si="7"/>
        <v>2</v>
      </c>
      <c r="S36" s="26">
        <f t="shared" si="8"/>
        <v>17</v>
      </c>
      <c r="U36" s="22">
        <f t="shared" si="9"/>
        <v>113</v>
      </c>
      <c r="V36" s="22">
        <f t="shared" si="10"/>
        <v>2</v>
      </c>
      <c r="W36" s="22">
        <f t="shared" si="11"/>
        <v>1</v>
      </c>
      <c r="X36" s="21">
        <f t="shared" si="12"/>
        <v>99</v>
      </c>
      <c r="Y36" s="22">
        <f t="shared" si="13"/>
        <v>7</v>
      </c>
      <c r="Z36" s="22">
        <f t="shared" si="14"/>
        <v>0</v>
      </c>
      <c r="AA36" s="22">
        <f t="shared" si="18"/>
        <v>-16</v>
      </c>
      <c r="AB36" s="22">
        <f t="shared" si="15"/>
        <v>28</v>
      </c>
      <c r="AC36" s="22">
        <f t="shared" si="16"/>
        <v>31</v>
      </c>
      <c r="AK36" s="44"/>
      <c r="AL36" s="44"/>
      <c r="AQ36" s="44"/>
      <c r="AR36" s="29"/>
      <c r="AS36" s="172"/>
      <c r="AT36" s="173"/>
      <c r="AU36" s="173"/>
      <c r="AV36" s="173"/>
      <c r="AW36" s="173"/>
      <c r="AX36" s="173"/>
      <c r="AY36" s="173"/>
      <c r="AZ36" s="173"/>
      <c r="BA36" s="133"/>
      <c r="BB36" s="133"/>
      <c r="BC36" s="133"/>
      <c r="BD36" s="177"/>
      <c r="BE36" s="177"/>
      <c r="BF36" s="175"/>
      <c r="BG36" s="175"/>
      <c r="BH36" s="175"/>
      <c r="BI36" s="175"/>
      <c r="BJ36" s="21">
        <f t="shared" si="19"/>
        <v>0</v>
      </c>
      <c r="BK36" s="21">
        <f t="shared" si="20"/>
        <v>0</v>
      </c>
      <c r="BL36" s="22">
        <f aca="true" t="shared" si="29" ref="BL36:BL43">YEAR(BD36)-1900</f>
        <v>0</v>
      </c>
      <c r="BM36" s="22">
        <f aca="true" t="shared" si="30" ref="BM36:BM43">MONTH(BD36)</f>
        <v>1</v>
      </c>
      <c r="BN36" s="22">
        <f aca="true" t="shared" si="31" ref="BN36:BN43">DAY(BD36)</f>
        <v>0</v>
      </c>
      <c r="BO36" s="50"/>
      <c r="BP36" s="22">
        <f aca="true" t="shared" si="32" ref="BP36:BP43">YEAR(BE36)-1900</f>
        <v>0</v>
      </c>
      <c r="BQ36" s="22">
        <f t="shared" si="21"/>
        <v>1</v>
      </c>
      <c r="BR36" s="22">
        <f t="shared" si="22"/>
        <v>0</v>
      </c>
      <c r="BS36" s="21">
        <f t="shared" si="23"/>
        <v>1</v>
      </c>
      <c r="BT36" s="22">
        <f t="shared" si="24"/>
        <v>0</v>
      </c>
      <c r="BU36" s="22">
        <f t="shared" si="25"/>
        <v>0</v>
      </c>
      <c r="BV36" s="22">
        <f t="shared" si="26"/>
        <v>1</v>
      </c>
      <c r="BW36" s="22">
        <f t="shared" si="27"/>
        <v>31</v>
      </c>
      <c r="BX36" s="22">
        <f t="shared" si="28"/>
        <v>0</v>
      </c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</row>
    <row r="37" spans="3:88" ht="15.75" hidden="1">
      <c r="C37" s="156"/>
      <c r="D37" s="156"/>
      <c r="F37" s="307"/>
      <c r="H37" s="27">
        <f>DATE(YEAR(J35)+1,MONTH(J35),DAY(J35))</f>
        <v>41322</v>
      </c>
      <c r="I37" s="24">
        <f t="shared" si="17"/>
        <v>38765</v>
      </c>
      <c r="J37" s="24">
        <f>IF(MONTH(D29)=MONTH(N5),IF(DAY(D29)=1,DATE(YEAR(J36)+1,MONTH(J36),DAY(1)),DATE(YEAR(J35)+1,MONTH(J35),DAY(J35))),DATE(YEAR(J35)+1,MONTH(J35),DAY(J35)))</f>
        <v>41322</v>
      </c>
      <c r="K37" s="75">
        <f t="shared" si="0"/>
        <v>7</v>
      </c>
      <c r="L37" s="25">
        <f t="shared" si="1"/>
        <v>0</v>
      </c>
      <c r="M37" s="25">
        <f t="shared" si="2"/>
        <v>0</v>
      </c>
      <c r="N37" s="25">
        <f t="shared" si="3"/>
        <v>3</v>
      </c>
      <c r="O37" s="25">
        <f t="shared" si="4"/>
        <v>6</v>
      </c>
      <c r="P37" s="25">
        <f t="shared" si="5"/>
        <v>0</v>
      </c>
      <c r="Q37" s="26">
        <f t="shared" si="6"/>
        <v>106</v>
      </c>
      <c r="R37" s="26">
        <f t="shared" si="7"/>
        <v>2</v>
      </c>
      <c r="S37" s="26">
        <f t="shared" si="8"/>
        <v>17</v>
      </c>
      <c r="U37" s="22">
        <f t="shared" si="9"/>
        <v>113</v>
      </c>
      <c r="V37" s="22">
        <f t="shared" si="10"/>
        <v>2</v>
      </c>
      <c r="W37" s="22">
        <f t="shared" si="11"/>
        <v>17</v>
      </c>
      <c r="X37" s="21">
        <f t="shared" si="12"/>
        <v>100</v>
      </c>
      <c r="Y37" s="22">
        <f t="shared" si="13"/>
        <v>7</v>
      </c>
      <c r="Z37" s="22">
        <f t="shared" si="14"/>
        <v>0</v>
      </c>
      <c r="AA37" s="22">
        <f t="shared" si="18"/>
        <v>0</v>
      </c>
      <c r="AB37" s="22">
        <f t="shared" si="15"/>
        <v>28</v>
      </c>
      <c r="AC37" s="22">
        <f t="shared" si="16"/>
        <v>31</v>
      </c>
      <c r="AK37" s="39"/>
      <c r="AL37" s="39"/>
      <c r="AQ37" s="39"/>
      <c r="AR37" s="29"/>
      <c r="AS37" s="172"/>
      <c r="AT37" s="173"/>
      <c r="AU37" s="173"/>
      <c r="AV37" s="173"/>
      <c r="AW37" s="173"/>
      <c r="AX37" s="173"/>
      <c r="AY37" s="173"/>
      <c r="AZ37" s="173"/>
      <c r="BA37" s="133"/>
      <c r="BB37" s="133"/>
      <c r="BC37" s="133"/>
      <c r="BD37" s="177"/>
      <c r="BE37" s="177"/>
      <c r="BF37" s="175"/>
      <c r="BG37" s="175"/>
      <c r="BH37" s="175"/>
      <c r="BI37" s="175"/>
      <c r="BJ37" s="21"/>
      <c r="BK37" s="21"/>
      <c r="BL37" s="22">
        <f t="shared" si="29"/>
        <v>0</v>
      </c>
      <c r="BM37" s="22">
        <f t="shared" si="30"/>
        <v>1</v>
      </c>
      <c r="BN37" s="22">
        <f t="shared" si="31"/>
        <v>0</v>
      </c>
      <c r="BO37" s="50"/>
      <c r="BP37" s="22">
        <f t="shared" si="32"/>
        <v>0</v>
      </c>
      <c r="BQ37" s="22">
        <f t="shared" si="21"/>
        <v>1</v>
      </c>
      <c r="BR37" s="22">
        <f t="shared" si="22"/>
        <v>0</v>
      </c>
      <c r="BS37" s="21">
        <f t="shared" si="23"/>
        <v>1</v>
      </c>
      <c r="BT37" s="22">
        <f t="shared" si="24"/>
        <v>0</v>
      </c>
      <c r="BU37" s="22">
        <f t="shared" si="25"/>
        <v>0</v>
      </c>
      <c r="BV37" s="22">
        <f t="shared" si="26"/>
        <v>1</v>
      </c>
      <c r="BW37" s="22">
        <f t="shared" si="27"/>
        <v>31</v>
      </c>
      <c r="BX37" s="22">
        <f t="shared" si="28"/>
        <v>0</v>
      </c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</row>
    <row r="38" spans="3:88" ht="15.75" hidden="1">
      <c r="C38" s="156"/>
      <c r="D38" s="156"/>
      <c r="F38" s="309" t="s">
        <v>194</v>
      </c>
      <c r="G38" t="s">
        <v>209</v>
      </c>
      <c r="H38" s="101">
        <f>N5</f>
        <v>40210</v>
      </c>
      <c r="I38" s="24">
        <f t="shared" si="17"/>
        <v>38765</v>
      </c>
      <c r="J38" s="102">
        <f>H8</f>
        <v>40781</v>
      </c>
      <c r="K38" s="75">
        <f t="shared" si="0"/>
        <v>5</v>
      </c>
      <c r="L38" s="25">
        <f t="shared" si="1"/>
        <v>6</v>
      </c>
      <c r="M38" s="25">
        <f t="shared" si="2"/>
        <v>9</v>
      </c>
      <c r="N38" s="25">
        <f t="shared" si="3"/>
        <v>2</v>
      </c>
      <c r="O38" s="25">
        <f t="shared" si="4"/>
        <v>9</v>
      </c>
      <c r="P38" s="25">
        <f t="shared" si="5"/>
        <v>3</v>
      </c>
      <c r="Q38" s="26">
        <f t="shared" si="6"/>
        <v>106</v>
      </c>
      <c r="R38" s="26">
        <f t="shared" si="7"/>
        <v>2</v>
      </c>
      <c r="S38" s="26">
        <f t="shared" si="8"/>
        <v>17</v>
      </c>
      <c r="U38" s="22">
        <f t="shared" si="9"/>
        <v>111</v>
      </c>
      <c r="V38" s="22">
        <f t="shared" si="10"/>
        <v>8</v>
      </c>
      <c r="W38" s="22">
        <f t="shared" si="11"/>
        <v>26</v>
      </c>
      <c r="X38" s="21">
        <f t="shared" si="12"/>
        <v>111</v>
      </c>
      <c r="Y38" s="22">
        <f t="shared" si="13"/>
        <v>5</v>
      </c>
      <c r="Z38" s="22">
        <f t="shared" si="14"/>
        <v>6</v>
      </c>
      <c r="AA38" s="22">
        <f t="shared" si="18"/>
        <v>9</v>
      </c>
      <c r="AB38" s="22">
        <f t="shared" si="15"/>
        <v>28</v>
      </c>
      <c r="AC38" s="22">
        <f t="shared" si="16"/>
        <v>31</v>
      </c>
      <c r="AK38" s="39"/>
      <c r="AL38" s="39"/>
      <c r="AQ38" s="39"/>
      <c r="AR38" s="29"/>
      <c r="AS38" s="172"/>
      <c r="AT38" s="173"/>
      <c r="AU38" s="173"/>
      <c r="AV38" s="173"/>
      <c r="AW38" s="173"/>
      <c r="AX38" s="173"/>
      <c r="AY38" s="173"/>
      <c r="AZ38" s="173"/>
      <c r="BA38" s="133"/>
      <c r="BB38" s="133"/>
      <c r="BC38" s="133"/>
      <c r="BD38" s="177"/>
      <c r="BE38" s="177"/>
      <c r="BF38" s="175"/>
      <c r="BG38" s="175"/>
      <c r="BH38" s="175"/>
      <c r="BI38" s="175"/>
      <c r="BJ38" s="21"/>
      <c r="BK38" s="21"/>
      <c r="BL38" s="22">
        <f t="shared" si="29"/>
        <v>0</v>
      </c>
      <c r="BM38" s="22">
        <f t="shared" si="30"/>
        <v>1</v>
      </c>
      <c r="BN38" s="22">
        <f t="shared" si="31"/>
        <v>0</v>
      </c>
      <c r="BO38" s="50"/>
      <c r="BP38" s="22">
        <f t="shared" si="32"/>
        <v>0</v>
      </c>
      <c r="BQ38" s="22">
        <f t="shared" si="21"/>
        <v>1</v>
      </c>
      <c r="BR38" s="22">
        <f t="shared" si="22"/>
        <v>0</v>
      </c>
      <c r="BS38" s="21">
        <f t="shared" si="23"/>
        <v>1</v>
      </c>
      <c r="BT38" s="22">
        <f t="shared" si="24"/>
        <v>0</v>
      </c>
      <c r="BU38" s="22">
        <f t="shared" si="25"/>
        <v>0</v>
      </c>
      <c r="BV38" s="22">
        <f t="shared" si="26"/>
        <v>1</v>
      </c>
      <c r="BW38" s="22">
        <f t="shared" si="27"/>
        <v>31</v>
      </c>
      <c r="BX38" s="22">
        <f t="shared" si="28"/>
        <v>0</v>
      </c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</row>
    <row r="39" spans="3:88" ht="15.75" hidden="1">
      <c r="C39" s="156"/>
      <c r="D39" s="156"/>
      <c r="F39" s="309"/>
      <c r="G39" t="s">
        <v>210</v>
      </c>
      <c r="H39" s="27">
        <f>IF(J38=" "," ",IF(YEAR(H38)&gt;YEAR(J38),H38,IF(MONTH(H38)&gt;MONTH(J38),(DATE(YEAR(J38),MONTH(H38),DAY(1))),(DATE(YEAR(J38)+1,MONTH(H38),DAY(1))))))</f>
        <v>40940</v>
      </c>
      <c r="I39" s="24">
        <f t="shared" si="17"/>
        <v>38765</v>
      </c>
      <c r="J39" s="76">
        <f>IF(YEAR(H38)&gt;YEAR(J38),H38,IF(MONTH(H38)&gt;MONTH(J38),(DATE(YEAR(J38),MONTH(H38),DAY(1))),(DATE(YEAR(J38)+1,MONTH(H38),DAY(1)))))</f>
        <v>40940</v>
      </c>
      <c r="K39" s="75">
        <f t="shared" si="0"/>
        <v>5</v>
      </c>
      <c r="L39" s="25">
        <f t="shared" si="1"/>
        <v>11</v>
      </c>
      <c r="M39" s="25">
        <f t="shared" si="2"/>
        <v>12</v>
      </c>
      <c r="N39" s="25">
        <f t="shared" si="3"/>
        <v>2</v>
      </c>
      <c r="O39" s="25">
        <f t="shared" si="4"/>
        <v>11</v>
      </c>
      <c r="P39" s="25">
        <f t="shared" si="5"/>
        <v>20</v>
      </c>
      <c r="Q39" s="26">
        <f t="shared" si="6"/>
        <v>106</v>
      </c>
      <c r="R39" s="26">
        <f t="shared" si="7"/>
        <v>2</v>
      </c>
      <c r="S39" s="26">
        <f t="shared" si="8"/>
        <v>17</v>
      </c>
      <c r="U39" s="22">
        <f t="shared" si="9"/>
        <v>112</v>
      </c>
      <c r="V39" s="22">
        <f t="shared" si="10"/>
        <v>2</v>
      </c>
      <c r="W39" s="22">
        <f t="shared" si="11"/>
        <v>1</v>
      </c>
      <c r="X39" s="21">
        <f t="shared" si="12"/>
        <v>99</v>
      </c>
      <c r="Y39" s="22">
        <f t="shared" si="13"/>
        <v>6</v>
      </c>
      <c r="Z39" s="22">
        <f t="shared" si="14"/>
        <v>0</v>
      </c>
      <c r="AA39" s="22">
        <f t="shared" si="18"/>
        <v>-16</v>
      </c>
      <c r="AB39" s="22">
        <f t="shared" si="15"/>
        <v>28</v>
      </c>
      <c r="AC39" s="22">
        <f t="shared" si="16"/>
        <v>31</v>
      </c>
      <c r="AK39" s="43"/>
      <c r="AL39" s="43"/>
      <c r="AQ39" s="43"/>
      <c r="AR39" s="29"/>
      <c r="AS39" s="172"/>
      <c r="AT39" s="173"/>
      <c r="AU39" s="173"/>
      <c r="AV39" s="173"/>
      <c r="AW39" s="173"/>
      <c r="AX39" s="173"/>
      <c r="AY39" s="173"/>
      <c r="AZ39" s="173"/>
      <c r="BA39" s="133"/>
      <c r="BB39" s="133"/>
      <c r="BC39" s="133"/>
      <c r="BD39" s="177"/>
      <c r="BE39" s="177"/>
      <c r="BF39" s="175"/>
      <c r="BG39" s="175"/>
      <c r="BH39" s="175"/>
      <c r="BI39" s="175"/>
      <c r="BJ39" s="21"/>
      <c r="BK39" s="21"/>
      <c r="BL39" s="22">
        <f t="shared" si="29"/>
        <v>0</v>
      </c>
      <c r="BM39" s="22">
        <f t="shared" si="30"/>
        <v>1</v>
      </c>
      <c r="BN39" s="22">
        <f t="shared" si="31"/>
        <v>0</v>
      </c>
      <c r="BO39" s="50"/>
      <c r="BP39" s="22">
        <f t="shared" si="32"/>
        <v>0</v>
      </c>
      <c r="BQ39" s="22">
        <f t="shared" si="21"/>
        <v>1</v>
      </c>
      <c r="BR39" s="22">
        <f t="shared" si="22"/>
        <v>0</v>
      </c>
      <c r="BS39" s="21">
        <f t="shared" si="23"/>
        <v>1</v>
      </c>
      <c r="BT39" s="22">
        <f t="shared" si="24"/>
        <v>0</v>
      </c>
      <c r="BU39" s="22">
        <f t="shared" si="25"/>
        <v>0</v>
      </c>
      <c r="BV39" s="22">
        <f t="shared" si="26"/>
        <v>1</v>
      </c>
      <c r="BW39" s="22">
        <f t="shared" si="27"/>
        <v>31</v>
      </c>
      <c r="BX39" s="22">
        <f t="shared" si="28"/>
        <v>0</v>
      </c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</row>
    <row r="40" spans="3:88" ht="15.75" hidden="1">
      <c r="C40" s="156"/>
      <c r="D40" s="156"/>
      <c r="F40" s="309"/>
      <c r="G40" t="s">
        <v>211</v>
      </c>
      <c r="H40" s="100">
        <f>IF(MONTH(J38)&gt;MONTH(I38),(DATE(YEAR(J38)+1,MONTH(I38),DAY(I38))),IF(MONTH(J38)=MONTH(I38),(DATE(YEAR(J38)+1,MONTH(I38),DAY(I38))),(DATE(YEAR(J38),MONTH(I38),DAY(I38)))))</f>
        <v>40956</v>
      </c>
      <c r="I40" s="24">
        <f t="shared" si="17"/>
        <v>38765</v>
      </c>
      <c r="J40" s="76"/>
      <c r="K40" s="75"/>
      <c r="L40" s="25"/>
      <c r="M40" s="25"/>
      <c r="N40" s="25"/>
      <c r="O40" s="25"/>
      <c r="P40" s="25"/>
      <c r="Q40" s="26"/>
      <c r="R40" s="26"/>
      <c r="S40" s="26"/>
      <c r="U40" s="22"/>
      <c r="V40" s="22"/>
      <c r="W40" s="22"/>
      <c r="X40" s="21"/>
      <c r="Y40" s="22"/>
      <c r="Z40" s="22"/>
      <c r="AA40" s="22"/>
      <c r="AB40" s="22"/>
      <c r="AC40" s="22"/>
      <c r="AK40" s="43"/>
      <c r="AL40" s="43"/>
      <c r="AQ40" s="43"/>
      <c r="AR40" s="29"/>
      <c r="AS40" s="172"/>
      <c r="AT40" s="173"/>
      <c r="AU40" s="173"/>
      <c r="AV40" s="173"/>
      <c r="AW40" s="173"/>
      <c r="AX40" s="173"/>
      <c r="AY40" s="173"/>
      <c r="AZ40" s="173"/>
      <c r="BA40" s="133"/>
      <c r="BB40" s="133"/>
      <c r="BC40" s="133"/>
      <c r="BD40" s="177"/>
      <c r="BE40" s="177"/>
      <c r="BF40" s="175"/>
      <c r="BG40" s="175"/>
      <c r="BH40" s="175"/>
      <c r="BI40" s="175"/>
      <c r="BJ40" s="21"/>
      <c r="BK40" s="21"/>
      <c r="BL40" s="22">
        <f t="shared" si="29"/>
        <v>0</v>
      </c>
      <c r="BM40" s="22">
        <f t="shared" si="30"/>
        <v>1</v>
      </c>
      <c r="BN40" s="22">
        <f t="shared" si="31"/>
        <v>0</v>
      </c>
      <c r="BO40" s="50"/>
      <c r="BP40" s="22">
        <f t="shared" si="32"/>
        <v>0</v>
      </c>
      <c r="BQ40" s="22">
        <f t="shared" si="21"/>
        <v>1</v>
      </c>
      <c r="BR40" s="22">
        <f t="shared" si="22"/>
        <v>0</v>
      </c>
      <c r="BS40" s="21">
        <f t="shared" si="23"/>
        <v>1</v>
      </c>
      <c r="BT40" s="22">
        <f t="shared" si="24"/>
        <v>0</v>
      </c>
      <c r="BU40" s="22">
        <f t="shared" si="25"/>
        <v>0</v>
      </c>
      <c r="BV40" s="22">
        <f t="shared" si="26"/>
        <v>1</v>
      </c>
      <c r="BW40" s="22">
        <f t="shared" si="27"/>
        <v>31</v>
      </c>
      <c r="BX40" s="22">
        <f t="shared" si="28"/>
        <v>0</v>
      </c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</row>
    <row r="41" spans="3:88" ht="15.75" hidden="1">
      <c r="C41" s="156"/>
      <c r="D41" s="156"/>
      <c r="F41" s="309"/>
      <c r="I41" s="24"/>
      <c r="J41" s="76"/>
      <c r="K41" s="75"/>
      <c r="L41" s="25"/>
      <c r="M41" s="25"/>
      <c r="N41" s="25"/>
      <c r="O41" s="25"/>
      <c r="P41" s="25"/>
      <c r="Q41" s="26"/>
      <c r="R41" s="26"/>
      <c r="S41" s="26"/>
      <c r="U41" s="22"/>
      <c r="V41" s="22"/>
      <c r="W41" s="22"/>
      <c r="X41" s="21"/>
      <c r="Y41" s="22"/>
      <c r="Z41" s="22"/>
      <c r="AA41" s="22"/>
      <c r="AB41" s="22"/>
      <c r="AC41" s="22"/>
      <c r="AK41" s="44"/>
      <c r="AL41" s="44"/>
      <c r="AQ41" s="44"/>
      <c r="AR41" s="29"/>
      <c r="AS41" s="172"/>
      <c r="AT41" s="173"/>
      <c r="AU41" s="173"/>
      <c r="AV41" s="173"/>
      <c r="AW41" s="173"/>
      <c r="AX41" s="173"/>
      <c r="AY41" s="173"/>
      <c r="AZ41" s="173"/>
      <c r="BA41" s="133"/>
      <c r="BB41" s="133"/>
      <c r="BC41" s="133"/>
      <c r="BD41" s="177"/>
      <c r="BE41" s="177"/>
      <c r="BF41" s="175"/>
      <c r="BG41" s="175"/>
      <c r="BH41" s="175"/>
      <c r="BI41" s="175"/>
      <c r="BJ41" s="21"/>
      <c r="BK41" s="21"/>
      <c r="BL41" s="22">
        <f t="shared" si="29"/>
        <v>0</v>
      </c>
      <c r="BM41" s="22">
        <f t="shared" si="30"/>
        <v>1</v>
      </c>
      <c r="BN41" s="22">
        <f t="shared" si="31"/>
        <v>0</v>
      </c>
      <c r="BO41" s="50"/>
      <c r="BP41" s="22">
        <f t="shared" si="32"/>
        <v>0</v>
      </c>
      <c r="BQ41" s="22">
        <f t="shared" si="21"/>
        <v>1</v>
      </c>
      <c r="BR41" s="22">
        <f t="shared" si="22"/>
        <v>0</v>
      </c>
      <c r="BS41" s="21">
        <f t="shared" si="23"/>
        <v>1</v>
      </c>
      <c r="BT41" s="22">
        <f t="shared" si="24"/>
        <v>0</v>
      </c>
      <c r="BU41" s="22">
        <f t="shared" si="25"/>
        <v>0</v>
      </c>
      <c r="BV41" s="22">
        <f t="shared" si="26"/>
        <v>1</v>
      </c>
      <c r="BW41" s="22">
        <f t="shared" si="27"/>
        <v>31</v>
      </c>
      <c r="BX41" s="22">
        <f t="shared" si="28"/>
        <v>0</v>
      </c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</row>
    <row r="42" spans="3:88" ht="15.75" hidden="1">
      <c r="C42" s="156"/>
      <c r="D42" s="156"/>
      <c r="I42" s="24"/>
      <c r="J42" s="76"/>
      <c r="K42" s="75"/>
      <c r="L42" s="25"/>
      <c r="M42" s="25"/>
      <c r="N42" s="25"/>
      <c r="O42" s="25"/>
      <c r="P42" s="25"/>
      <c r="Q42" s="26"/>
      <c r="R42" s="26"/>
      <c r="S42" s="26"/>
      <c r="U42" s="22"/>
      <c r="V42" s="22"/>
      <c r="W42" s="22"/>
      <c r="X42" s="21"/>
      <c r="Y42" s="22"/>
      <c r="Z42" s="22"/>
      <c r="AA42" s="22"/>
      <c r="AB42" s="22"/>
      <c r="AC42" s="22"/>
      <c r="AK42" s="39"/>
      <c r="AL42" s="39"/>
      <c r="AQ42" s="39"/>
      <c r="AR42" s="29"/>
      <c r="AS42" s="172"/>
      <c r="AT42" s="173"/>
      <c r="AU42" s="173"/>
      <c r="AV42" s="173"/>
      <c r="AW42" s="173"/>
      <c r="AX42" s="173"/>
      <c r="AY42" s="173"/>
      <c r="AZ42" s="173"/>
      <c r="BA42" s="133"/>
      <c r="BB42" s="133"/>
      <c r="BC42" s="133"/>
      <c r="BD42" s="177"/>
      <c r="BE42" s="177"/>
      <c r="BF42" s="175"/>
      <c r="BG42" s="175"/>
      <c r="BH42" s="175"/>
      <c r="BI42" s="175"/>
      <c r="BJ42" s="21">
        <f aca="true" t="shared" si="33" ref="BJ42:BJ47">FLOOR(BG61/2,1)</f>
        <v>0</v>
      </c>
      <c r="BK42" s="21">
        <f aca="true" t="shared" si="34" ref="BK42:BK47">FLOOR((BH42+((BG61-(BJ42*2))*12))/2,1)</f>
        <v>0</v>
      </c>
      <c r="BL42" s="22">
        <f t="shared" si="29"/>
        <v>0</v>
      </c>
      <c r="BM42" s="22">
        <f t="shared" si="30"/>
        <v>1</v>
      </c>
      <c r="BN42" s="22">
        <f t="shared" si="31"/>
        <v>0</v>
      </c>
      <c r="BO42" s="50"/>
      <c r="BP42" s="22">
        <f t="shared" si="32"/>
        <v>0</v>
      </c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</row>
    <row r="43" spans="3:88" ht="15.75" hidden="1">
      <c r="C43" s="156"/>
      <c r="D43" s="156"/>
      <c r="AK43" s="39"/>
      <c r="AL43" s="39"/>
      <c r="AQ43" s="39"/>
      <c r="AR43" s="190"/>
      <c r="AS43" s="172"/>
      <c r="AT43" s="173"/>
      <c r="AU43" s="173"/>
      <c r="AV43" s="173"/>
      <c r="AW43" s="173"/>
      <c r="AX43" s="173"/>
      <c r="AY43" s="173"/>
      <c r="AZ43" s="173"/>
      <c r="BA43" s="133"/>
      <c r="BB43" s="133"/>
      <c r="BC43" s="133"/>
      <c r="BD43" s="177"/>
      <c r="BE43" s="177"/>
      <c r="BF43" s="175"/>
      <c r="BG43" s="175"/>
      <c r="BH43" s="175"/>
      <c r="BI43" s="175"/>
      <c r="BJ43" s="21">
        <f t="shared" si="33"/>
        <v>0</v>
      </c>
      <c r="BK43" s="21">
        <f t="shared" si="34"/>
        <v>0</v>
      </c>
      <c r="BL43" s="22">
        <f t="shared" si="29"/>
        <v>0</v>
      </c>
      <c r="BM43" s="22">
        <f t="shared" si="30"/>
        <v>1</v>
      </c>
      <c r="BN43" s="22">
        <f t="shared" si="31"/>
        <v>0</v>
      </c>
      <c r="BO43" s="50"/>
      <c r="BP43" s="22">
        <f t="shared" si="32"/>
        <v>0</v>
      </c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</row>
    <row r="44" spans="8:88" ht="15" hidden="1">
      <c r="H44" s="310" t="s">
        <v>195</v>
      </c>
      <c r="I44" s="310"/>
      <c r="J44" s="310"/>
      <c r="K44" s="310"/>
      <c r="L44" s="310"/>
      <c r="M44" s="310"/>
      <c r="N44" s="310"/>
      <c r="U44" s="23"/>
      <c r="V44" s="43"/>
      <c r="W44" s="29"/>
      <c r="X44" s="29"/>
      <c r="Y44" s="29"/>
      <c r="Z44" s="29"/>
      <c r="AA44" s="29"/>
      <c r="AB44" s="29"/>
      <c r="AC44" s="29"/>
      <c r="AD44" s="30">
        <f aca="true" t="shared" si="35" ref="AD44:AJ44">X97-X88-X91</f>
        <v>1456</v>
      </c>
      <c r="AE44" s="30">
        <f t="shared" si="35"/>
        <v>1504</v>
      </c>
      <c r="AF44" s="30">
        <f t="shared" si="35"/>
        <v>0</v>
      </c>
      <c r="AG44" s="30">
        <f t="shared" si="35"/>
        <v>0</v>
      </c>
      <c r="AH44" s="30">
        <f t="shared" si="35"/>
        <v>0</v>
      </c>
      <c r="AI44" s="30">
        <f t="shared" si="35"/>
        <v>0</v>
      </c>
      <c r="AJ44" s="30" t="e">
        <f t="shared" si="35"/>
        <v>#VALUE!</v>
      </c>
      <c r="AK44" s="29"/>
      <c r="AL44" s="51"/>
      <c r="AM44" s="29"/>
      <c r="AN44" s="29"/>
      <c r="AO44" s="29"/>
      <c r="AP44" s="29"/>
      <c r="AQ44" s="31"/>
      <c r="AR44" s="134"/>
      <c r="AS44" s="172"/>
      <c r="AT44" s="173"/>
      <c r="AU44" s="173"/>
      <c r="AV44" s="173"/>
      <c r="AW44" s="173"/>
      <c r="AX44" s="173"/>
      <c r="AY44" s="173"/>
      <c r="AZ44" s="173"/>
      <c r="BA44" s="133"/>
      <c r="BB44" s="133"/>
      <c r="BC44" s="133"/>
      <c r="BD44" s="133"/>
      <c r="BE44" s="133"/>
      <c r="BF44" s="133"/>
      <c r="BG44" s="133"/>
      <c r="BH44" s="175"/>
      <c r="BI44" s="175"/>
      <c r="BJ44" s="21">
        <f t="shared" si="33"/>
        <v>0</v>
      </c>
      <c r="BK44" s="21">
        <f t="shared" si="34"/>
        <v>0</v>
      </c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</row>
    <row r="45" spans="6:88" ht="15" hidden="1">
      <c r="F45" s="307" t="s">
        <v>196</v>
      </c>
      <c r="G45">
        <v>1</v>
      </c>
      <c r="H45" s="4" t="s">
        <v>37</v>
      </c>
      <c r="I45" s="20" t="s">
        <v>105</v>
      </c>
      <c r="M45" s="308" t="s">
        <v>197</v>
      </c>
      <c r="N45" s="4" t="s">
        <v>78</v>
      </c>
      <c r="O45" s="4" t="s">
        <v>130</v>
      </c>
      <c r="U45" s="23"/>
      <c r="V45" s="43"/>
      <c r="W45" s="29"/>
      <c r="X45" s="29"/>
      <c r="Y45" s="29"/>
      <c r="Z45" s="29"/>
      <c r="AA45" s="29"/>
      <c r="AB45" s="29"/>
      <c r="AC45" s="29"/>
      <c r="AD45" s="30">
        <f>IF(IF(AC45=0,AD50,AD49)&lt;L109,L109,IF(AC45=0,AD50,AD49))</f>
        <v>13920</v>
      </c>
      <c r="AE45" s="30">
        <f>IF(IF(AC45&lt;2,AE50,AE49)&lt;L109,L109,IF(AC45&lt;2,AE50,AE49))</f>
        <v>10470</v>
      </c>
      <c r="AF45" s="30">
        <f>IF(IF(AC45&lt;4,AF50,AF49)&lt;L109,L109,IF(AC45&lt;4,AF50,AF49))</f>
        <v>10470</v>
      </c>
      <c r="AG45" s="30">
        <f>IF(IF(AC45&lt;6,AG50,AG49)&lt;L109,L109,IF(AC45&lt;6,AG50,AG49))</f>
        <v>10470</v>
      </c>
      <c r="AH45" s="30">
        <f>IF(IF(AC45&lt;8,AH50,AH49)&lt;L109,L109,IF(AC45&lt;8,AH50,AH49))</f>
        <v>10470</v>
      </c>
      <c r="AI45" s="30">
        <f>IF(IF(AC45&lt;10,AI50,AI49)&lt;L109,L109,IF(AC45&lt;10,AI50,AI49))</f>
        <v>10470</v>
      </c>
      <c r="AJ45" s="30">
        <f>IF(IF(AC45&lt;12,AJ50,AJ49)&lt;L109,L109,IF(AC45&lt;12,AJ50,AJ49))</f>
        <v>10470</v>
      </c>
      <c r="AK45" s="29"/>
      <c r="AL45" s="29"/>
      <c r="AM45" s="29"/>
      <c r="AN45" s="29"/>
      <c r="AO45" s="29"/>
      <c r="AP45" s="29"/>
      <c r="AQ45" s="31"/>
      <c r="AR45" s="134"/>
      <c r="AS45" s="172"/>
      <c r="AT45" s="173"/>
      <c r="AU45" s="173"/>
      <c r="AV45" s="173"/>
      <c r="AW45" s="173"/>
      <c r="AX45" s="173"/>
      <c r="AY45" s="173"/>
      <c r="AZ45" s="173"/>
      <c r="BA45" s="133"/>
      <c r="BB45" s="133"/>
      <c r="BC45" s="133"/>
      <c r="BD45" s="133"/>
      <c r="BE45" s="133"/>
      <c r="BF45" s="133"/>
      <c r="BG45" s="133"/>
      <c r="BH45" s="175"/>
      <c r="BI45" s="175"/>
      <c r="BJ45" s="21">
        <f t="shared" si="33"/>
        <v>0</v>
      </c>
      <c r="BK45" s="21">
        <f t="shared" si="34"/>
        <v>0</v>
      </c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</row>
    <row r="46" spans="6:88" ht="15.75" hidden="1">
      <c r="F46" s="307"/>
      <c r="G46">
        <v>2</v>
      </c>
      <c r="H46" s="4" t="s">
        <v>38</v>
      </c>
      <c r="I46" s="20" t="s">
        <v>106</v>
      </c>
      <c r="M46" s="308"/>
      <c r="N46" s="4" t="s">
        <v>79</v>
      </c>
      <c r="O46" s="4" t="s">
        <v>131</v>
      </c>
      <c r="U46" s="23"/>
      <c r="V46" s="44"/>
      <c r="W46" s="29"/>
      <c r="X46" s="29"/>
      <c r="Y46" s="29"/>
      <c r="Z46" s="29"/>
      <c r="AA46" s="29"/>
      <c r="AB46" s="29"/>
      <c r="AC46" s="29"/>
      <c r="AD46" s="30">
        <f aca="true" t="shared" si="36" ref="AD46:AJ46">IF(ISNUMBER(AD45),AD45,0)</f>
        <v>13920</v>
      </c>
      <c r="AE46" s="30">
        <f t="shared" si="36"/>
        <v>10470</v>
      </c>
      <c r="AF46" s="30">
        <f t="shared" si="36"/>
        <v>10470</v>
      </c>
      <c r="AG46" s="30">
        <f t="shared" si="36"/>
        <v>10470</v>
      </c>
      <c r="AH46" s="30">
        <f t="shared" si="36"/>
        <v>10470</v>
      </c>
      <c r="AI46" s="30">
        <f t="shared" si="36"/>
        <v>10470</v>
      </c>
      <c r="AJ46" s="30">
        <f t="shared" si="36"/>
        <v>10470</v>
      </c>
      <c r="AK46" s="29"/>
      <c r="AL46" s="51"/>
      <c r="AM46" s="51"/>
      <c r="AN46" s="35"/>
      <c r="AO46" s="29"/>
      <c r="AP46" s="31"/>
      <c r="AQ46" s="29"/>
      <c r="AR46" s="134"/>
      <c r="AS46" s="172"/>
      <c r="AT46" s="173"/>
      <c r="AU46" s="173"/>
      <c r="AV46" s="173"/>
      <c r="AW46" s="173"/>
      <c r="AX46" s="173"/>
      <c r="AY46" s="173"/>
      <c r="AZ46" s="173"/>
      <c r="BA46" s="133"/>
      <c r="BB46" s="133"/>
      <c r="BC46" s="133"/>
      <c r="BD46" s="133"/>
      <c r="BE46" s="133"/>
      <c r="BF46" s="133"/>
      <c r="BG46" s="133"/>
      <c r="BH46" s="175"/>
      <c r="BI46" s="175"/>
      <c r="BJ46" s="21">
        <f t="shared" si="33"/>
        <v>0</v>
      </c>
      <c r="BK46" s="21">
        <f t="shared" si="34"/>
        <v>0</v>
      </c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</row>
    <row r="47" spans="6:88" ht="15" hidden="1">
      <c r="F47" s="307"/>
      <c r="G47">
        <v>3</v>
      </c>
      <c r="H47" s="4" t="s">
        <v>39</v>
      </c>
      <c r="I47" s="20" t="s">
        <v>107</v>
      </c>
      <c r="M47" s="308"/>
      <c r="N47" s="4" t="s">
        <v>80</v>
      </c>
      <c r="O47" s="4" t="s">
        <v>132</v>
      </c>
      <c r="U47" s="23"/>
      <c r="V47" s="29"/>
      <c r="W47" s="29"/>
      <c r="X47" s="29"/>
      <c r="Y47" s="29"/>
      <c r="Z47" s="29"/>
      <c r="AA47" s="29"/>
      <c r="AB47" s="29"/>
      <c r="AC47" s="29"/>
      <c r="AD47" s="30">
        <f>IF(AL44=AD46,7,0)</f>
        <v>0</v>
      </c>
      <c r="AE47" s="30">
        <f>IF(AL44=AE46,6,0)</f>
        <v>0</v>
      </c>
      <c r="AF47" s="30">
        <f>IF(AL44=AF46,5,0)</f>
        <v>0</v>
      </c>
      <c r="AG47" s="30">
        <f>IF(AL44=AG46,4,0)</f>
        <v>0</v>
      </c>
      <c r="AH47" s="30">
        <f>IF(AL44=AH46,3,0)</f>
        <v>0</v>
      </c>
      <c r="AI47" s="30">
        <f>IF(AL44=AI46,2,0)</f>
        <v>0</v>
      </c>
      <c r="AJ47" s="30">
        <f>IF(AL44=AJ46,1,0)</f>
        <v>0</v>
      </c>
      <c r="AK47" s="29"/>
      <c r="AL47" s="29"/>
      <c r="AM47" s="29"/>
      <c r="AN47" s="29"/>
      <c r="AO47" s="29"/>
      <c r="AP47" s="29"/>
      <c r="AQ47" s="29"/>
      <c r="AR47" s="134"/>
      <c r="AS47" s="172"/>
      <c r="AT47" s="189"/>
      <c r="AU47" s="189"/>
      <c r="AV47" s="189"/>
      <c r="AW47" s="189"/>
      <c r="AX47" s="189"/>
      <c r="AY47" s="189"/>
      <c r="AZ47" s="189"/>
      <c r="BA47" s="133"/>
      <c r="BB47" s="133"/>
      <c r="BC47" s="133"/>
      <c r="BD47" s="133"/>
      <c r="BE47" s="133"/>
      <c r="BF47" s="133"/>
      <c r="BG47" s="133"/>
      <c r="BH47" s="175"/>
      <c r="BI47" s="175"/>
      <c r="BJ47" s="21">
        <f t="shared" si="33"/>
        <v>0</v>
      </c>
      <c r="BK47" s="21">
        <f t="shared" si="34"/>
        <v>0</v>
      </c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</row>
    <row r="48" spans="6:88" ht="15" hidden="1">
      <c r="F48" s="307"/>
      <c r="G48">
        <v>4</v>
      </c>
      <c r="H48" s="4" t="s">
        <v>40</v>
      </c>
      <c r="I48" s="20" t="s">
        <v>108</v>
      </c>
      <c r="M48" s="308"/>
      <c r="N48" s="4" t="s">
        <v>81</v>
      </c>
      <c r="O48" s="4" t="s">
        <v>133</v>
      </c>
      <c r="U48" s="23"/>
      <c r="V48" s="29"/>
      <c r="W48" s="29"/>
      <c r="X48" s="29"/>
      <c r="Y48" s="29"/>
      <c r="Z48" s="29"/>
      <c r="AA48" s="29"/>
      <c r="AB48" s="29"/>
      <c r="AC48" s="29"/>
      <c r="AD48" s="30">
        <f>IF(AC48&gt;0,IF(X85=J85,IF(AD46=AE45,AD47-2,AD47),AD47),AD47)</f>
        <v>0</v>
      </c>
      <c r="AE48" s="30">
        <f>IF(AC48&gt;0,IF(Y85=K85,IF(AE46=AF45,AE47-2,AE47),AE47),AE47)</f>
        <v>0</v>
      </c>
      <c r="AF48" s="30">
        <f>IF(AC48&gt;0,IF(Z85=L85,IF(AF46=AG45,AF47-2,AF47),AF47),AF47)</f>
        <v>0</v>
      </c>
      <c r="AG48" s="30">
        <f>IF(AC48&gt;0,IF(AA85=M85,IF(AG46=AH45,AG47-2,AG47),AG47),AG47)</f>
        <v>0</v>
      </c>
      <c r="AH48" s="30">
        <f>IF(AC48&gt;0,IF(AB85=N85,IF(AH46=AI45,AH47-2,AH47),AH47),AH47)</f>
        <v>0</v>
      </c>
      <c r="AI48" s="30">
        <f>IF(AC48&gt;0,IF(AC85=AC16,IF(AI46=AJ45,AI47-2,AI47),AI47),AI47)</f>
        <v>0</v>
      </c>
      <c r="AJ48" s="30">
        <f>IF(AC48&gt;0,IF(AD85=X85,IF(AJ46=AK44,AJ47-2,AJ47),AJ47),AJ47)</f>
        <v>0</v>
      </c>
      <c r="AK48" s="29"/>
      <c r="AL48" s="29"/>
      <c r="AM48" s="29"/>
      <c r="AN48" s="29"/>
      <c r="AO48" s="29"/>
      <c r="AP48" s="29"/>
      <c r="AQ48" s="29"/>
      <c r="AR48" s="134"/>
      <c r="AS48" s="172"/>
      <c r="AT48" s="172"/>
      <c r="AU48" s="172"/>
      <c r="AV48" s="172"/>
      <c r="AW48" s="172"/>
      <c r="AX48" s="172"/>
      <c r="AY48" s="172"/>
      <c r="AZ48" s="172"/>
      <c r="BA48" s="133"/>
      <c r="BB48" s="133"/>
      <c r="BC48" s="133"/>
      <c r="BD48" s="133"/>
      <c r="BE48" s="133"/>
      <c r="BF48" s="133"/>
      <c r="BG48" s="133"/>
      <c r="BH48" s="133"/>
      <c r="BI48" s="133"/>
      <c r="BJ48" s="23"/>
      <c r="BK48" s="23"/>
      <c r="BL48" s="23"/>
      <c r="BM48" s="23"/>
      <c r="BN48" s="23"/>
      <c r="BO48" s="23"/>
      <c r="BP48" s="23"/>
      <c r="BQ48" s="22">
        <f aca="true" t="shared" si="37" ref="BQ48:BQ53">YEAR(BF50)-1900</f>
        <v>0</v>
      </c>
      <c r="BR48" s="22">
        <f aca="true" t="shared" si="38" ref="BR48:BR53">MONTH(BF50)</f>
        <v>1</v>
      </c>
      <c r="BS48" s="22">
        <f aca="true" t="shared" si="39" ref="BS48:BS53">DAY(BF50)</f>
        <v>0</v>
      </c>
      <c r="BT48" s="21">
        <f aca="true" t="shared" si="40" ref="BT48:BT53">IF(BF50&lt;BE50,0,(IF(BU48=0,0,1)*100+IF(BV48=0,0,IF(BV48&lt;0,-1,1))*10+IF(BW48=0,0,IF(BW48&lt;0,-1,1))))</f>
        <v>1</v>
      </c>
      <c r="BU48" s="22">
        <f aca="true" t="shared" si="41" ref="BU48:BV53">BQ48-BM50</f>
        <v>0</v>
      </c>
      <c r="BV48" s="22">
        <f t="shared" si="41"/>
        <v>0</v>
      </c>
      <c r="BW48" s="22">
        <f aca="true" t="shared" si="42" ref="BW48:BW53">BS48-BO50+1</f>
        <v>1</v>
      </c>
      <c r="BX48" s="22">
        <f aca="true" t="shared" si="43" ref="BX48:BX53">DAY(DATE(YEAR(BE50),MONTH(BE50)+1,0))</f>
        <v>31</v>
      </c>
      <c r="BY48" s="22">
        <f aca="true" t="shared" si="44" ref="BY48:BY53">DAY(DATE(YEAR(BF50),MONTH(BF50),0))</f>
        <v>0</v>
      </c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</row>
    <row r="49" spans="6:88" ht="15" hidden="1">
      <c r="F49" s="307"/>
      <c r="G49">
        <v>5</v>
      </c>
      <c r="H49" s="4" t="s">
        <v>41</v>
      </c>
      <c r="I49" s="20" t="s">
        <v>109</v>
      </c>
      <c r="M49" s="308"/>
      <c r="N49" s="4" t="s">
        <v>82</v>
      </c>
      <c r="O49" s="4" t="s">
        <v>134</v>
      </c>
      <c r="U49" s="23"/>
      <c r="V49" s="29"/>
      <c r="W49" s="29"/>
      <c r="X49" s="29"/>
      <c r="Y49" s="29"/>
      <c r="Z49" s="29"/>
      <c r="AA49" s="29"/>
      <c r="AB49" s="29"/>
      <c r="AC49" s="29"/>
      <c r="AD49" s="30">
        <f aca="true" t="shared" si="45" ref="AD49:AJ49">AD50</f>
        <v>13920</v>
      </c>
      <c r="AE49" s="30">
        <f t="shared" si="45"/>
        <v>0</v>
      </c>
      <c r="AF49" s="30">
        <f t="shared" si="45"/>
        <v>0</v>
      </c>
      <c r="AG49" s="30">
        <f t="shared" si="45"/>
        <v>0</v>
      </c>
      <c r="AH49" s="30">
        <f t="shared" si="45"/>
        <v>0</v>
      </c>
      <c r="AI49" s="30">
        <f t="shared" si="45"/>
        <v>0</v>
      </c>
      <c r="AJ49" s="30">
        <f t="shared" si="45"/>
        <v>0</v>
      </c>
      <c r="AK49" s="29"/>
      <c r="AL49" s="29"/>
      <c r="AM49" s="29"/>
      <c r="AN49" s="29"/>
      <c r="AO49" s="29"/>
      <c r="AP49" s="29"/>
      <c r="AQ49" s="29"/>
      <c r="AR49" s="134"/>
      <c r="AS49" s="172"/>
      <c r="AT49" s="173"/>
      <c r="AU49" s="173"/>
      <c r="AV49" s="173"/>
      <c r="AW49" s="173"/>
      <c r="AX49" s="173"/>
      <c r="AY49" s="173"/>
      <c r="AZ49" s="173"/>
      <c r="BA49" s="133"/>
      <c r="BB49" s="133"/>
      <c r="BC49" s="133"/>
      <c r="BD49" s="133"/>
      <c r="BE49" s="133"/>
      <c r="BF49" s="133"/>
      <c r="BG49" s="133"/>
      <c r="BH49" s="133"/>
      <c r="BI49" s="133"/>
      <c r="BJ49" s="23"/>
      <c r="BK49" s="23"/>
      <c r="BL49" s="23"/>
      <c r="BM49" s="23"/>
      <c r="BN49" s="23"/>
      <c r="BO49" s="23"/>
      <c r="BP49" s="23"/>
      <c r="BQ49" s="22">
        <f t="shared" si="37"/>
        <v>0</v>
      </c>
      <c r="BR49" s="22">
        <f t="shared" si="38"/>
        <v>1</v>
      </c>
      <c r="BS49" s="22">
        <f t="shared" si="39"/>
        <v>0</v>
      </c>
      <c r="BT49" s="21">
        <f t="shared" si="40"/>
        <v>1</v>
      </c>
      <c r="BU49" s="22">
        <f t="shared" si="41"/>
        <v>0</v>
      </c>
      <c r="BV49" s="22">
        <f t="shared" si="41"/>
        <v>0</v>
      </c>
      <c r="BW49" s="22">
        <f t="shared" si="42"/>
        <v>1</v>
      </c>
      <c r="BX49" s="22">
        <f t="shared" si="43"/>
        <v>31</v>
      </c>
      <c r="BY49" s="22">
        <f t="shared" si="44"/>
        <v>0</v>
      </c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</row>
    <row r="50" spans="6:88" ht="15" hidden="1">
      <c r="F50" s="307"/>
      <c r="G50">
        <v>6</v>
      </c>
      <c r="H50" s="4" t="s">
        <v>42</v>
      </c>
      <c r="I50" s="20" t="s">
        <v>110</v>
      </c>
      <c r="M50" s="308"/>
      <c r="N50" s="4" t="s">
        <v>83</v>
      </c>
      <c r="O50" s="4" t="s">
        <v>135</v>
      </c>
      <c r="U50" s="23"/>
      <c r="V50" s="29"/>
      <c r="W50" s="29"/>
      <c r="X50" s="29"/>
      <c r="Y50" s="29"/>
      <c r="Z50" s="29"/>
      <c r="AA50" s="29"/>
      <c r="AB50" s="29"/>
      <c r="AC50" s="29"/>
      <c r="AD50" s="30">
        <f>IF(AD51=0,X116,IF(AD51=1,X122,IF(AD51=2,X127,IF(AD51=3,X132,IF(AD51=4,X137,IF(AD51=5,X142,X147))))))</f>
        <v>13920</v>
      </c>
      <c r="AE50" s="30">
        <f>IF(AC53=Y85,IF(AE51=0,Y116,IF(AE51=1,Y122,IF(AE51=2,Y127,IF(AE51=3,Y132,IF(AE51=4,Y137,IF(AE51=5,Y142,Y147)))))),0)</f>
        <v>0</v>
      </c>
      <c r="AF50" s="30">
        <f>IF(AC54=Z85,IF(AF51=0,Z116,IF(AF51=1,Z122,IF(AF51=2,Z127,IF(AF51=3,Z132,IF(AF51=4,Z137,IF(AF51=5,Z142,Z147)))))),0)</f>
        <v>0</v>
      </c>
      <c r="AG50" s="30">
        <f>IF(AC55=AA85,IF(AG51=0,AA116,IF(AG51=1,AA122,IF(AG51=2,AA127,IF(AG51=3,AA132,IF(AG51=4,AA137,IF(AG51=5,AA142,AA147)))))),0)</f>
        <v>0</v>
      </c>
      <c r="AH50" s="30">
        <f>IF(AC56=AB85,IF(AH51=0,AB116,IF(AH51=1,AB122,IF(AH51=2,AB127,IF(AH51=3,AB132,IF(AH51=4,AB137,IF(AH51=5,AB142,AB147)))))),0)</f>
        <v>0</v>
      </c>
      <c r="AI50" s="30">
        <f>IF(AC57=AC85,IF(AI51=0,AC116,IF(AI51=1,AC122,IF(AI51=2,AC127,IF(AI51=3,AC132,IF(AI51=4,AC137,IF(AI51=5,AC142,AC147)))))),0)</f>
        <v>0</v>
      </c>
      <c r="AJ50" s="30">
        <f>IF(AC58=AD85,IF(AJ51=0,AD116,IF(AJ51=1,AD122,IF(AJ51=2,AD127,IF(AJ51=3,AD132,IF(AJ51=4,AD137,IF(AJ51=5,AD142,AD147)))))),0)</f>
        <v>0</v>
      </c>
      <c r="AK50" s="29"/>
      <c r="AL50" s="29"/>
      <c r="AM50" s="29"/>
      <c r="AN50" s="29"/>
      <c r="AO50" s="29"/>
      <c r="AP50" s="29"/>
      <c r="AQ50" s="29"/>
      <c r="AR50" s="172"/>
      <c r="AS50" s="172"/>
      <c r="AT50" s="173"/>
      <c r="AU50" s="173"/>
      <c r="AV50" s="173"/>
      <c r="AW50" s="173"/>
      <c r="AX50" s="173"/>
      <c r="AY50" s="173"/>
      <c r="AZ50" s="173"/>
      <c r="BA50" s="133"/>
      <c r="BB50" s="133"/>
      <c r="BC50" s="133"/>
      <c r="BD50" s="133"/>
      <c r="BE50" s="178"/>
      <c r="BF50" s="179"/>
      <c r="BG50" s="175"/>
      <c r="BH50" s="133"/>
      <c r="BI50" s="133"/>
      <c r="BJ50" s="23"/>
      <c r="BK50" s="23"/>
      <c r="BL50" s="21">
        <f aca="true" t="shared" si="46" ref="BL50:BL55">FLOOR((BH31+((((BG50*12+BH31)/2-(BJ31*12+BK31))*2)*30))/2,1)</f>
        <v>0</v>
      </c>
      <c r="BM50" s="22">
        <f aca="true" t="shared" si="47" ref="BM50:BM55">YEAR(BE50)-1900</f>
        <v>0</v>
      </c>
      <c r="BN50" s="22">
        <f aca="true" t="shared" si="48" ref="BN50:BN55">MONTH(BE50)</f>
        <v>1</v>
      </c>
      <c r="BO50" s="22">
        <f aca="true" t="shared" si="49" ref="BO50:BO55">DAY(BE50)</f>
        <v>0</v>
      </c>
      <c r="BP50" s="50"/>
      <c r="BQ50" s="22">
        <f t="shared" si="37"/>
        <v>0</v>
      </c>
      <c r="BR50" s="22">
        <f t="shared" si="38"/>
        <v>1</v>
      </c>
      <c r="BS50" s="22">
        <f t="shared" si="39"/>
        <v>0</v>
      </c>
      <c r="BT50" s="21">
        <f t="shared" si="40"/>
        <v>1</v>
      </c>
      <c r="BU50" s="22">
        <f t="shared" si="41"/>
        <v>0</v>
      </c>
      <c r="BV50" s="22">
        <f t="shared" si="41"/>
        <v>0</v>
      </c>
      <c r="BW50" s="22">
        <f t="shared" si="42"/>
        <v>1</v>
      </c>
      <c r="BX50" s="22">
        <f t="shared" si="43"/>
        <v>31</v>
      </c>
      <c r="BY50" s="22">
        <f t="shared" si="44"/>
        <v>0</v>
      </c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</row>
    <row r="51" spans="6:88" ht="15" hidden="1">
      <c r="F51" s="307"/>
      <c r="G51">
        <v>7</v>
      </c>
      <c r="H51" s="17" t="s">
        <v>43</v>
      </c>
      <c r="I51" s="20" t="s">
        <v>111</v>
      </c>
      <c r="M51" s="308"/>
      <c r="N51" s="4" t="s">
        <v>84</v>
      </c>
      <c r="O51" s="4" t="s">
        <v>136</v>
      </c>
      <c r="U51" s="23"/>
      <c r="V51" s="29"/>
      <c r="W51" s="29"/>
      <c r="X51" s="29"/>
      <c r="Y51" s="29"/>
      <c r="Z51" s="29"/>
      <c r="AA51" s="29"/>
      <c r="AB51" s="29"/>
      <c r="AC51" s="29"/>
      <c r="AD51" s="52">
        <f aca="true" t="shared" si="50" ref="AD51:AJ51">AT58</f>
        <v>0</v>
      </c>
      <c r="AE51" s="52">
        <f t="shared" si="50"/>
        <v>0</v>
      </c>
      <c r="AF51" s="52">
        <f t="shared" si="50"/>
        <v>0</v>
      </c>
      <c r="AG51" s="52">
        <f t="shared" si="50"/>
        <v>0</v>
      </c>
      <c r="AH51" s="52">
        <f t="shared" si="50"/>
        <v>0</v>
      </c>
      <c r="AI51" s="52">
        <f t="shared" si="50"/>
        <v>0</v>
      </c>
      <c r="AJ51" s="52">
        <f t="shared" si="50"/>
        <v>0</v>
      </c>
      <c r="AK51" s="29"/>
      <c r="AL51" s="29"/>
      <c r="AM51" s="29"/>
      <c r="AN51" s="29"/>
      <c r="AO51" s="29"/>
      <c r="AP51" s="29"/>
      <c r="AQ51" s="29"/>
      <c r="AR51" s="134"/>
      <c r="AS51" s="172"/>
      <c r="AT51" s="173"/>
      <c r="AU51" s="173"/>
      <c r="AV51" s="173"/>
      <c r="AW51" s="173"/>
      <c r="AX51" s="173"/>
      <c r="AY51" s="173"/>
      <c r="AZ51" s="173"/>
      <c r="BA51" s="133"/>
      <c r="BB51" s="133"/>
      <c r="BC51" s="133"/>
      <c r="BD51" s="133"/>
      <c r="BE51" s="179"/>
      <c r="BF51" s="179"/>
      <c r="BG51" s="175"/>
      <c r="BH51" s="133"/>
      <c r="BI51" s="133"/>
      <c r="BJ51" s="23"/>
      <c r="BK51" s="23"/>
      <c r="BL51" s="21">
        <f t="shared" si="46"/>
        <v>0</v>
      </c>
      <c r="BM51" s="22">
        <f t="shared" si="47"/>
        <v>0</v>
      </c>
      <c r="BN51" s="22">
        <f t="shared" si="48"/>
        <v>1</v>
      </c>
      <c r="BO51" s="22">
        <f t="shared" si="49"/>
        <v>0</v>
      </c>
      <c r="BP51" s="50"/>
      <c r="BQ51" s="22">
        <f t="shared" si="37"/>
        <v>0</v>
      </c>
      <c r="BR51" s="22">
        <f t="shared" si="38"/>
        <v>1</v>
      </c>
      <c r="BS51" s="22">
        <f t="shared" si="39"/>
        <v>0</v>
      </c>
      <c r="BT51" s="21">
        <f t="shared" si="40"/>
        <v>1</v>
      </c>
      <c r="BU51" s="22">
        <f t="shared" si="41"/>
        <v>0</v>
      </c>
      <c r="BV51" s="22">
        <f t="shared" si="41"/>
        <v>0</v>
      </c>
      <c r="BW51" s="22">
        <f t="shared" si="42"/>
        <v>1</v>
      </c>
      <c r="BX51" s="22">
        <f t="shared" si="43"/>
        <v>31</v>
      </c>
      <c r="BY51" s="22">
        <f t="shared" si="44"/>
        <v>0</v>
      </c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</row>
    <row r="52" spans="6:88" ht="15" hidden="1">
      <c r="F52" s="307"/>
      <c r="G52">
        <v>8</v>
      </c>
      <c r="H52" s="17" t="s">
        <v>44</v>
      </c>
      <c r="I52" s="20" t="s">
        <v>112</v>
      </c>
      <c r="M52" s="308"/>
      <c r="N52" s="4" t="s">
        <v>85</v>
      </c>
      <c r="O52" s="4" t="s">
        <v>137</v>
      </c>
      <c r="U52" s="23"/>
      <c r="V52" s="29"/>
      <c r="W52" s="29"/>
      <c r="X52" s="29"/>
      <c r="Y52" s="29"/>
      <c r="Z52" s="29"/>
      <c r="AA52" s="29"/>
      <c r="AB52" s="29"/>
      <c r="AC52" s="53">
        <f aca="true" t="shared" si="51" ref="AC52:AC58">AR59</f>
        <v>0</v>
      </c>
      <c r="AD52" s="30">
        <f>X97</f>
        <v>13920</v>
      </c>
      <c r="AE52" s="52"/>
      <c r="AF52" s="52"/>
      <c r="AG52" s="52"/>
      <c r="AH52" s="52"/>
      <c r="AI52" s="52"/>
      <c r="AJ52" s="52"/>
      <c r="AK52" s="29"/>
      <c r="AL52" s="29"/>
      <c r="AM52" s="29"/>
      <c r="AN52" s="29"/>
      <c r="AO52" s="29"/>
      <c r="AP52" s="29"/>
      <c r="AQ52" s="29"/>
      <c r="AR52" s="134"/>
      <c r="AS52" s="172"/>
      <c r="AT52" s="173"/>
      <c r="AU52" s="173"/>
      <c r="AV52" s="173"/>
      <c r="AW52" s="173"/>
      <c r="AX52" s="173"/>
      <c r="AY52" s="173"/>
      <c r="AZ52" s="173"/>
      <c r="BA52" s="133"/>
      <c r="BB52" s="133"/>
      <c r="BC52" s="133"/>
      <c r="BD52" s="133"/>
      <c r="BE52" s="179"/>
      <c r="BF52" s="179"/>
      <c r="BG52" s="175"/>
      <c r="BH52" s="133"/>
      <c r="BI52" s="133"/>
      <c r="BJ52" s="23"/>
      <c r="BK52" s="23"/>
      <c r="BL52" s="21">
        <f t="shared" si="46"/>
        <v>0</v>
      </c>
      <c r="BM52" s="22">
        <f t="shared" si="47"/>
        <v>0</v>
      </c>
      <c r="BN52" s="22">
        <f t="shared" si="48"/>
        <v>1</v>
      </c>
      <c r="BO52" s="22">
        <f t="shared" si="49"/>
        <v>0</v>
      </c>
      <c r="BP52" s="50"/>
      <c r="BQ52" s="22">
        <f t="shared" si="37"/>
        <v>0</v>
      </c>
      <c r="BR52" s="22">
        <f t="shared" si="38"/>
        <v>1</v>
      </c>
      <c r="BS52" s="22">
        <f t="shared" si="39"/>
        <v>0</v>
      </c>
      <c r="BT52" s="21">
        <f t="shared" si="40"/>
        <v>1</v>
      </c>
      <c r="BU52" s="22">
        <f t="shared" si="41"/>
        <v>0</v>
      </c>
      <c r="BV52" s="22">
        <f t="shared" si="41"/>
        <v>0</v>
      </c>
      <c r="BW52" s="22">
        <f t="shared" si="42"/>
        <v>1</v>
      </c>
      <c r="BX52" s="22">
        <f t="shared" si="43"/>
        <v>31</v>
      </c>
      <c r="BY52" s="22">
        <f t="shared" si="44"/>
        <v>0</v>
      </c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</row>
    <row r="53" spans="6:88" ht="15" hidden="1">
      <c r="F53" s="307"/>
      <c r="G53">
        <v>9</v>
      </c>
      <c r="H53" s="17" t="s">
        <v>45</v>
      </c>
      <c r="I53" s="20" t="s">
        <v>113</v>
      </c>
      <c r="M53" s="308"/>
      <c r="N53" s="4" t="s">
        <v>86</v>
      </c>
      <c r="O53" s="4" t="s">
        <v>138</v>
      </c>
      <c r="U53" s="23"/>
      <c r="V53" s="29"/>
      <c r="W53" s="29"/>
      <c r="X53" s="29"/>
      <c r="Y53" s="29"/>
      <c r="Z53" s="29"/>
      <c r="AA53" s="29"/>
      <c r="AB53" s="29"/>
      <c r="AC53" s="53">
        <f t="shared" si="51"/>
        <v>0</v>
      </c>
      <c r="AD53" s="30"/>
      <c r="AE53" s="30">
        <f>Y97</f>
        <v>14280</v>
      </c>
      <c r="AF53" s="30"/>
      <c r="AG53" s="30"/>
      <c r="AH53" s="30"/>
      <c r="AI53" s="30"/>
      <c r="AJ53" s="30"/>
      <c r="AK53" s="29"/>
      <c r="AL53" s="29"/>
      <c r="AM53" s="29"/>
      <c r="AN53" s="29"/>
      <c r="AO53" s="29"/>
      <c r="AP53" s="29"/>
      <c r="AQ53" s="29"/>
      <c r="AR53" s="134"/>
      <c r="AS53" s="172"/>
      <c r="AT53" s="173"/>
      <c r="AU53" s="173"/>
      <c r="AV53" s="173"/>
      <c r="AW53" s="173"/>
      <c r="AX53" s="173"/>
      <c r="AY53" s="173"/>
      <c r="AZ53" s="173"/>
      <c r="BA53" s="133"/>
      <c r="BB53" s="133"/>
      <c r="BC53" s="133"/>
      <c r="BD53" s="133"/>
      <c r="BE53" s="179"/>
      <c r="BF53" s="179"/>
      <c r="BG53" s="175"/>
      <c r="BH53" s="133"/>
      <c r="BI53" s="133"/>
      <c r="BJ53" s="23"/>
      <c r="BK53" s="23"/>
      <c r="BL53" s="21">
        <f t="shared" si="46"/>
        <v>0</v>
      </c>
      <c r="BM53" s="22">
        <f t="shared" si="47"/>
        <v>0</v>
      </c>
      <c r="BN53" s="22">
        <f t="shared" si="48"/>
        <v>1</v>
      </c>
      <c r="BO53" s="22">
        <f t="shared" si="49"/>
        <v>0</v>
      </c>
      <c r="BP53" s="50"/>
      <c r="BQ53" s="22">
        <f t="shared" si="37"/>
        <v>0</v>
      </c>
      <c r="BR53" s="22">
        <f t="shared" si="38"/>
        <v>1</v>
      </c>
      <c r="BS53" s="22">
        <f t="shared" si="39"/>
        <v>0</v>
      </c>
      <c r="BT53" s="21">
        <f t="shared" si="40"/>
        <v>1</v>
      </c>
      <c r="BU53" s="22">
        <f t="shared" si="41"/>
        <v>0</v>
      </c>
      <c r="BV53" s="22">
        <f t="shared" si="41"/>
        <v>0</v>
      </c>
      <c r="BW53" s="22">
        <f t="shared" si="42"/>
        <v>1</v>
      </c>
      <c r="BX53" s="22">
        <f t="shared" si="43"/>
        <v>31</v>
      </c>
      <c r="BY53" s="22">
        <f t="shared" si="44"/>
        <v>0</v>
      </c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</row>
    <row r="54" spans="6:88" ht="15" hidden="1">
      <c r="F54" s="307"/>
      <c r="G54">
        <v>10</v>
      </c>
      <c r="H54" s="17" t="s">
        <v>46</v>
      </c>
      <c r="I54" s="20" t="s">
        <v>114</v>
      </c>
      <c r="M54" s="308"/>
      <c r="N54" s="4" t="s">
        <v>87</v>
      </c>
      <c r="O54" s="4" t="s">
        <v>139</v>
      </c>
      <c r="U54" s="23"/>
      <c r="V54" s="29"/>
      <c r="W54" s="29"/>
      <c r="X54" s="29"/>
      <c r="Y54" s="29"/>
      <c r="Z54" s="29"/>
      <c r="AA54" s="29"/>
      <c r="AB54" s="29"/>
      <c r="AC54" s="53">
        <f t="shared" si="51"/>
        <v>0</v>
      </c>
      <c r="AD54" s="30"/>
      <c r="AE54" s="30"/>
      <c r="AF54" s="30">
        <f>Z97</f>
        <v>0</v>
      </c>
      <c r="AG54" s="30"/>
      <c r="AH54" s="30"/>
      <c r="AI54" s="30"/>
      <c r="AJ54" s="30"/>
      <c r="AK54" s="29"/>
      <c r="AL54" s="29"/>
      <c r="AM54" s="29"/>
      <c r="AN54" s="29"/>
      <c r="AO54" s="29"/>
      <c r="AP54" s="29"/>
      <c r="AQ54" s="29"/>
      <c r="AR54" s="134"/>
      <c r="AS54" s="172"/>
      <c r="AT54" s="173"/>
      <c r="AU54" s="173"/>
      <c r="AV54" s="173"/>
      <c r="AW54" s="173"/>
      <c r="AX54" s="173"/>
      <c r="AY54" s="173"/>
      <c r="AZ54" s="173"/>
      <c r="BA54" s="133"/>
      <c r="BB54" s="133"/>
      <c r="BC54" s="133"/>
      <c r="BD54" s="133"/>
      <c r="BE54" s="179"/>
      <c r="BF54" s="179"/>
      <c r="BG54" s="175"/>
      <c r="BH54" s="133"/>
      <c r="BI54" s="133"/>
      <c r="BJ54" s="23"/>
      <c r="BK54" s="23"/>
      <c r="BL54" s="21">
        <f t="shared" si="46"/>
        <v>0</v>
      </c>
      <c r="BM54" s="22">
        <f t="shared" si="47"/>
        <v>0</v>
      </c>
      <c r="BN54" s="22">
        <f t="shared" si="48"/>
        <v>1</v>
      </c>
      <c r="BO54" s="22">
        <f t="shared" si="49"/>
        <v>0</v>
      </c>
      <c r="BP54" s="50"/>
      <c r="BQ54" s="22"/>
      <c r="BR54" s="22"/>
      <c r="BS54" s="22"/>
      <c r="BT54" s="21"/>
      <c r="BU54" s="22"/>
      <c r="BV54" s="22"/>
      <c r="BW54" s="22"/>
      <c r="BX54" s="22"/>
      <c r="BY54" s="22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</row>
    <row r="55" spans="6:88" ht="15" hidden="1">
      <c r="F55" s="307"/>
      <c r="G55">
        <v>11</v>
      </c>
      <c r="H55" s="17" t="s">
        <v>47</v>
      </c>
      <c r="I55" s="20" t="s">
        <v>115</v>
      </c>
      <c r="M55" s="308"/>
      <c r="N55" s="4" t="s">
        <v>88</v>
      </c>
      <c r="O55" s="4" t="s">
        <v>140</v>
      </c>
      <c r="U55" s="23"/>
      <c r="V55" s="29"/>
      <c r="W55" s="29"/>
      <c r="X55" s="29"/>
      <c r="Y55" s="29"/>
      <c r="Z55" s="29"/>
      <c r="AA55" s="29"/>
      <c r="AB55" s="29"/>
      <c r="AC55" s="53">
        <f t="shared" si="51"/>
        <v>0</v>
      </c>
      <c r="AD55" s="30"/>
      <c r="AE55" s="30"/>
      <c r="AF55" s="30"/>
      <c r="AG55" s="30">
        <f>AA97</f>
        <v>0</v>
      </c>
      <c r="AH55" s="30"/>
      <c r="AI55" s="30"/>
      <c r="AJ55" s="30"/>
      <c r="AK55" s="29"/>
      <c r="AL55" s="29"/>
      <c r="AM55" s="29"/>
      <c r="AN55" s="29"/>
      <c r="AO55" s="29"/>
      <c r="AP55" s="29"/>
      <c r="AQ55" s="29"/>
      <c r="AR55" s="134"/>
      <c r="AS55" s="172"/>
      <c r="AT55" s="173"/>
      <c r="AU55" s="173"/>
      <c r="AV55" s="173"/>
      <c r="AW55" s="173"/>
      <c r="AX55" s="173"/>
      <c r="AY55" s="173"/>
      <c r="AZ55" s="173"/>
      <c r="BA55" s="133"/>
      <c r="BB55" s="133"/>
      <c r="BC55" s="133"/>
      <c r="BD55" s="133"/>
      <c r="BE55" s="179"/>
      <c r="BF55" s="179"/>
      <c r="BG55" s="175"/>
      <c r="BH55" s="133"/>
      <c r="BI55" s="133"/>
      <c r="BJ55" s="23"/>
      <c r="BK55" s="23"/>
      <c r="BL55" s="21">
        <f t="shared" si="46"/>
        <v>0</v>
      </c>
      <c r="BM55" s="22">
        <f t="shared" si="47"/>
        <v>0</v>
      </c>
      <c r="BN55" s="22">
        <f t="shared" si="48"/>
        <v>1</v>
      </c>
      <c r="BO55" s="22">
        <f t="shared" si="49"/>
        <v>0</v>
      </c>
      <c r="BP55" s="50"/>
      <c r="BQ55" s="22"/>
      <c r="BR55" s="22"/>
      <c r="BS55" s="22"/>
      <c r="BT55" s="21"/>
      <c r="BU55" s="22"/>
      <c r="BV55" s="22"/>
      <c r="BW55" s="22"/>
      <c r="BX55" s="22"/>
      <c r="BY55" s="22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</row>
    <row r="56" spans="6:88" ht="15" hidden="1">
      <c r="F56" s="307"/>
      <c r="G56">
        <v>12</v>
      </c>
      <c r="H56" s="17" t="s">
        <v>48</v>
      </c>
      <c r="I56" s="20" t="s">
        <v>116</v>
      </c>
      <c r="M56" s="308"/>
      <c r="N56" s="4" t="s">
        <v>89</v>
      </c>
      <c r="O56" s="4" t="s">
        <v>141</v>
      </c>
      <c r="U56" s="23"/>
      <c r="V56" s="29"/>
      <c r="W56" s="29"/>
      <c r="X56" s="29"/>
      <c r="Y56" s="29"/>
      <c r="Z56" s="29"/>
      <c r="AA56" s="29"/>
      <c r="AB56" s="29"/>
      <c r="AC56" s="53">
        <f t="shared" si="51"/>
        <v>0</v>
      </c>
      <c r="AD56" s="30"/>
      <c r="AE56" s="30"/>
      <c r="AF56" s="30"/>
      <c r="AG56" s="30"/>
      <c r="AH56" s="30">
        <f>AB97</f>
        <v>0</v>
      </c>
      <c r="AI56" s="30"/>
      <c r="AJ56" s="30"/>
      <c r="AK56" s="29"/>
      <c r="AL56" s="29"/>
      <c r="AM56" s="29"/>
      <c r="AN56" s="29"/>
      <c r="AO56" s="29"/>
      <c r="AP56" s="29"/>
      <c r="AQ56" s="29"/>
      <c r="AR56" s="134"/>
      <c r="AS56" s="172"/>
      <c r="AT56" s="173"/>
      <c r="AU56" s="173"/>
      <c r="AV56" s="173"/>
      <c r="AW56" s="173"/>
      <c r="AX56" s="173"/>
      <c r="AY56" s="173"/>
      <c r="AZ56" s="173"/>
      <c r="BA56" s="133"/>
      <c r="BB56" s="133"/>
      <c r="BC56" s="133"/>
      <c r="BD56" s="133"/>
      <c r="BE56" s="179"/>
      <c r="BF56" s="179"/>
      <c r="BG56" s="175"/>
      <c r="BH56" s="133"/>
      <c r="BI56" s="133"/>
      <c r="BJ56" s="23"/>
      <c r="BK56" s="23"/>
      <c r="BL56" s="21"/>
      <c r="BM56" s="22"/>
      <c r="BN56" s="22"/>
      <c r="BO56" s="22"/>
      <c r="BP56" s="50"/>
      <c r="BQ56" s="22"/>
      <c r="BR56" s="22"/>
      <c r="BS56" s="22"/>
      <c r="BT56" s="21"/>
      <c r="BU56" s="22"/>
      <c r="BV56" s="22"/>
      <c r="BW56" s="22"/>
      <c r="BX56" s="22"/>
      <c r="BY56" s="22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</row>
    <row r="57" spans="6:88" ht="15" hidden="1">
      <c r="F57" s="307"/>
      <c r="G57">
        <v>13</v>
      </c>
      <c r="H57" s="17" t="s">
        <v>49</v>
      </c>
      <c r="I57" s="20" t="s">
        <v>117</v>
      </c>
      <c r="M57" s="308"/>
      <c r="N57" s="4" t="s">
        <v>90</v>
      </c>
      <c r="O57" s="4" t="s">
        <v>142</v>
      </c>
      <c r="U57" s="23"/>
      <c r="V57" s="29"/>
      <c r="W57" s="29"/>
      <c r="X57" s="29"/>
      <c r="Y57" s="29"/>
      <c r="Z57" s="29"/>
      <c r="AA57" s="29"/>
      <c r="AB57" s="29"/>
      <c r="AC57" s="53">
        <f t="shared" si="51"/>
        <v>0</v>
      </c>
      <c r="AD57" s="30"/>
      <c r="AE57" s="30"/>
      <c r="AF57" s="30"/>
      <c r="AG57" s="30"/>
      <c r="AH57" s="30"/>
      <c r="AI57" s="30">
        <f>AC97</f>
        <v>0</v>
      </c>
      <c r="AJ57" s="30"/>
      <c r="AK57" s="29"/>
      <c r="AL57" s="29"/>
      <c r="AM57" s="29"/>
      <c r="AN57" s="29"/>
      <c r="AO57" s="29"/>
      <c r="AP57" s="29"/>
      <c r="AQ57" s="134"/>
      <c r="AR57" s="134"/>
      <c r="AS57" s="172"/>
      <c r="AT57" s="173"/>
      <c r="AU57" s="173"/>
      <c r="AV57" s="173"/>
      <c r="AW57" s="173"/>
      <c r="AX57" s="173"/>
      <c r="AY57" s="173"/>
      <c r="AZ57" s="173"/>
      <c r="BA57" s="133"/>
      <c r="BB57" s="133"/>
      <c r="BC57" s="133"/>
      <c r="BD57" s="133"/>
      <c r="BE57" s="133"/>
      <c r="BF57" s="133"/>
      <c r="BG57" s="175"/>
      <c r="BH57" s="133"/>
      <c r="BI57" s="133"/>
      <c r="BJ57" s="23"/>
      <c r="BK57" s="23"/>
      <c r="BL57" s="21"/>
      <c r="BM57" s="22"/>
      <c r="BN57" s="22"/>
      <c r="BO57" s="22"/>
      <c r="BP57" s="50"/>
      <c r="BQ57" s="22"/>
      <c r="BR57" s="22"/>
      <c r="BS57" s="22"/>
      <c r="BT57" s="21"/>
      <c r="BU57" s="22"/>
      <c r="BV57" s="22"/>
      <c r="BW57" s="22"/>
      <c r="BX57" s="22"/>
      <c r="BY57" s="22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</row>
    <row r="58" spans="6:88" ht="15" hidden="1">
      <c r="F58" s="307"/>
      <c r="G58">
        <v>14</v>
      </c>
      <c r="H58" s="17" t="s">
        <v>50</v>
      </c>
      <c r="I58" s="20" t="s">
        <v>118</v>
      </c>
      <c r="M58" s="308"/>
      <c r="N58" s="4" t="s">
        <v>91</v>
      </c>
      <c r="O58" s="4" t="s">
        <v>143</v>
      </c>
      <c r="U58" s="23"/>
      <c r="V58" s="29"/>
      <c r="W58" s="29"/>
      <c r="X58" s="29"/>
      <c r="Y58" s="29"/>
      <c r="Z58" s="29"/>
      <c r="AA58" s="29"/>
      <c r="AB58" s="29"/>
      <c r="AC58" s="53">
        <f t="shared" si="51"/>
        <v>0</v>
      </c>
      <c r="AD58" s="30"/>
      <c r="AE58" s="30"/>
      <c r="AF58" s="30"/>
      <c r="AG58" s="30"/>
      <c r="AH58" s="30"/>
      <c r="AI58" s="30"/>
      <c r="AJ58" s="30" t="str">
        <f>AD97</f>
        <v>Higher Scale Max.</v>
      </c>
      <c r="AK58" s="29"/>
      <c r="AL58" s="29"/>
      <c r="AM58" s="29"/>
      <c r="AN58" s="29"/>
      <c r="AO58" s="29"/>
      <c r="AP58" s="54"/>
      <c r="AQ58" s="134"/>
      <c r="AR58" s="134"/>
      <c r="AS58" s="172"/>
      <c r="AT58" s="180"/>
      <c r="AU58" s="180"/>
      <c r="AV58" s="180"/>
      <c r="AW58" s="180"/>
      <c r="AX58" s="180"/>
      <c r="AY58" s="180"/>
      <c r="AZ58" s="180"/>
      <c r="BA58" s="133"/>
      <c r="BB58" s="133"/>
      <c r="BC58" s="133"/>
      <c r="BD58" s="133"/>
      <c r="BE58" s="133"/>
      <c r="BF58" s="133"/>
      <c r="BG58" s="175"/>
      <c r="BH58" s="133"/>
      <c r="BI58" s="133"/>
      <c r="BJ58" s="23"/>
      <c r="BK58" s="23"/>
      <c r="BL58" s="21"/>
      <c r="BM58" s="22"/>
      <c r="BN58" s="22"/>
      <c r="BO58" s="22"/>
      <c r="BP58" s="50"/>
      <c r="BQ58" s="22"/>
      <c r="BR58" s="22"/>
      <c r="BS58" s="22"/>
      <c r="BT58" s="21"/>
      <c r="BU58" s="22"/>
      <c r="BV58" s="22"/>
      <c r="BW58" s="22"/>
      <c r="BX58" s="22"/>
      <c r="BY58" s="22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</row>
    <row r="59" spans="6:88" ht="15" hidden="1">
      <c r="F59" s="307"/>
      <c r="G59">
        <v>15</v>
      </c>
      <c r="H59" s="17" t="s">
        <v>51</v>
      </c>
      <c r="I59" s="20" t="s">
        <v>119</v>
      </c>
      <c r="M59" s="308"/>
      <c r="N59" s="4" t="s">
        <v>92</v>
      </c>
      <c r="O59" s="4" t="s">
        <v>144</v>
      </c>
      <c r="U59" s="23"/>
      <c r="V59" s="29"/>
      <c r="W59" s="29"/>
      <c r="X59" s="29"/>
      <c r="Y59" s="29"/>
      <c r="Z59" s="29"/>
      <c r="AA59" s="29"/>
      <c r="AB59" s="29"/>
      <c r="AC59" s="29"/>
      <c r="AD59" s="23"/>
      <c r="AE59" s="23"/>
      <c r="AF59" s="23"/>
      <c r="AG59" s="23"/>
      <c r="AH59" s="23"/>
      <c r="AI59" s="23"/>
      <c r="AJ59" s="23"/>
      <c r="AK59" s="29"/>
      <c r="AL59" s="29"/>
      <c r="AM59" s="29"/>
      <c r="AN59" s="29"/>
      <c r="AO59" s="29"/>
      <c r="AP59" s="29"/>
      <c r="AQ59" s="134"/>
      <c r="AR59" s="90"/>
      <c r="AS59" s="172"/>
      <c r="AT59" s="173"/>
      <c r="AU59" s="180"/>
      <c r="AV59" s="180"/>
      <c r="AW59" s="180"/>
      <c r="AX59" s="180"/>
      <c r="AY59" s="180"/>
      <c r="AZ59" s="180"/>
      <c r="BA59" s="133"/>
      <c r="BB59" s="133"/>
      <c r="BC59" s="133"/>
      <c r="BD59" s="133"/>
      <c r="BE59" s="133"/>
      <c r="BF59" s="133"/>
      <c r="BG59" s="175"/>
      <c r="BH59" s="133"/>
      <c r="BI59" s="133"/>
      <c r="BJ59" s="23"/>
      <c r="BK59" s="23"/>
      <c r="BL59" s="21"/>
      <c r="BM59" s="22"/>
      <c r="BN59" s="22"/>
      <c r="BO59" s="22"/>
      <c r="BP59" s="50"/>
      <c r="BQ59" s="22">
        <f aca="true" t="shared" si="52" ref="BQ59:BQ64">YEAR(BF61)-1900</f>
        <v>0</v>
      </c>
      <c r="BR59" s="22">
        <f aca="true" t="shared" si="53" ref="BR59:BR64">MONTH(BF61)</f>
        <v>1</v>
      </c>
      <c r="BS59" s="22">
        <f aca="true" t="shared" si="54" ref="BS59:BS64">DAY(BF61)</f>
        <v>0</v>
      </c>
      <c r="BT59" s="21">
        <f aca="true" t="shared" si="55" ref="BT59:BT64">IF(BF61&lt;BE61,0,(IF(BU59=0,0,1)*100+IF(BV59=0,0,IF(BV59&lt;0,-1,1))*10+IF(BW59=0,0,IF(BW59&lt;0,-1,1))))</f>
        <v>1</v>
      </c>
      <c r="BU59" s="22">
        <f aca="true" t="shared" si="56" ref="BU59:BV64">BQ59-BM61</f>
        <v>0</v>
      </c>
      <c r="BV59" s="22">
        <f t="shared" si="56"/>
        <v>0</v>
      </c>
      <c r="BW59" s="22">
        <f aca="true" t="shared" si="57" ref="BW59:BW64">BS59-BO61+1</f>
        <v>1</v>
      </c>
      <c r="BX59" s="22">
        <f aca="true" t="shared" si="58" ref="BX59:BX64">DAY(DATE(YEAR(BE61),MONTH(BE61)+1,0))</f>
        <v>31</v>
      </c>
      <c r="BY59" s="22">
        <f aca="true" t="shared" si="59" ref="BY59:BY64">DAY(DATE(YEAR(BF61),MONTH(BF61),0))</f>
        <v>0</v>
      </c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</row>
    <row r="60" spans="6:88" ht="15" hidden="1">
      <c r="F60" s="307"/>
      <c r="G60">
        <v>16</v>
      </c>
      <c r="H60" s="17" t="s">
        <v>52</v>
      </c>
      <c r="I60" s="20" t="s">
        <v>120</v>
      </c>
      <c r="M60" s="308"/>
      <c r="N60" s="4" t="s">
        <v>93</v>
      </c>
      <c r="O60" s="4" t="s">
        <v>145</v>
      </c>
      <c r="U60" s="23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134"/>
      <c r="AR60" s="90"/>
      <c r="AS60" s="172"/>
      <c r="AT60" s="173"/>
      <c r="AU60" s="173"/>
      <c r="AV60" s="173"/>
      <c r="AW60" s="173"/>
      <c r="AX60" s="173"/>
      <c r="AY60" s="173"/>
      <c r="AZ60" s="173"/>
      <c r="BA60" s="133"/>
      <c r="BB60" s="133"/>
      <c r="BC60" s="133"/>
      <c r="BD60" s="133"/>
      <c r="BE60" s="133"/>
      <c r="BF60" s="133"/>
      <c r="BG60" s="175"/>
      <c r="BH60" s="133"/>
      <c r="BI60" s="133"/>
      <c r="BJ60" s="23"/>
      <c r="BK60" s="23"/>
      <c r="BL60" s="21"/>
      <c r="BM60" s="22"/>
      <c r="BN60" s="22"/>
      <c r="BO60" s="22"/>
      <c r="BP60" s="50"/>
      <c r="BQ60" s="22">
        <f t="shared" si="52"/>
        <v>0</v>
      </c>
      <c r="BR60" s="22">
        <f t="shared" si="53"/>
        <v>1</v>
      </c>
      <c r="BS60" s="22">
        <f t="shared" si="54"/>
        <v>0</v>
      </c>
      <c r="BT60" s="21">
        <f t="shared" si="55"/>
        <v>1</v>
      </c>
      <c r="BU60" s="22">
        <f t="shared" si="56"/>
        <v>0</v>
      </c>
      <c r="BV60" s="22">
        <f t="shared" si="56"/>
        <v>0</v>
      </c>
      <c r="BW60" s="22">
        <f t="shared" si="57"/>
        <v>1</v>
      </c>
      <c r="BX60" s="22">
        <f t="shared" si="58"/>
        <v>31</v>
      </c>
      <c r="BY60" s="22">
        <f t="shared" si="59"/>
        <v>0</v>
      </c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</row>
    <row r="61" spans="6:88" ht="15" hidden="1">
      <c r="F61" s="307"/>
      <c r="G61">
        <v>17</v>
      </c>
      <c r="H61" s="17" t="s">
        <v>53</v>
      </c>
      <c r="I61" s="20" t="s">
        <v>121</v>
      </c>
      <c r="M61" s="308"/>
      <c r="N61" s="4" t="s">
        <v>94</v>
      </c>
      <c r="O61" s="4" t="s">
        <v>146</v>
      </c>
      <c r="U61" s="23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134"/>
      <c r="AR61" s="90"/>
      <c r="AS61" s="172"/>
      <c r="AT61" s="173"/>
      <c r="AU61" s="173"/>
      <c r="AV61" s="173"/>
      <c r="AW61" s="173"/>
      <c r="AX61" s="173"/>
      <c r="AY61" s="173"/>
      <c r="AZ61" s="173"/>
      <c r="BA61" s="133"/>
      <c r="BB61" s="133"/>
      <c r="BC61" s="133"/>
      <c r="BD61" s="133"/>
      <c r="BE61" s="178"/>
      <c r="BF61" s="178"/>
      <c r="BG61" s="175"/>
      <c r="BH61" s="133"/>
      <c r="BI61" s="133"/>
      <c r="BJ61" s="23"/>
      <c r="BK61" s="23"/>
      <c r="BL61" s="21">
        <f aca="true" t="shared" si="60" ref="BL61:BL66">FLOOR((BH42+((((BG61*12+BH42)/2-(BJ42*12+BK42))*2)*30))/2,1)</f>
        <v>0</v>
      </c>
      <c r="BM61" s="22">
        <f aca="true" t="shared" si="61" ref="BM61:BM66">YEAR(BE61)-1900</f>
        <v>0</v>
      </c>
      <c r="BN61" s="22">
        <f aca="true" t="shared" si="62" ref="BN61:BN66">MONTH(BE61)</f>
        <v>1</v>
      </c>
      <c r="BO61" s="22">
        <f aca="true" t="shared" si="63" ref="BO61:BO66">DAY(BE61)</f>
        <v>0</v>
      </c>
      <c r="BP61" s="50"/>
      <c r="BQ61" s="22">
        <f t="shared" si="52"/>
        <v>0</v>
      </c>
      <c r="BR61" s="22">
        <f t="shared" si="53"/>
        <v>1</v>
      </c>
      <c r="BS61" s="22">
        <f t="shared" si="54"/>
        <v>0</v>
      </c>
      <c r="BT61" s="21">
        <f t="shared" si="55"/>
        <v>1</v>
      </c>
      <c r="BU61" s="22">
        <f t="shared" si="56"/>
        <v>0</v>
      </c>
      <c r="BV61" s="22">
        <f t="shared" si="56"/>
        <v>0</v>
      </c>
      <c r="BW61" s="22">
        <f t="shared" si="57"/>
        <v>1</v>
      </c>
      <c r="BX61" s="22">
        <f t="shared" si="58"/>
        <v>31</v>
      </c>
      <c r="BY61" s="22">
        <f t="shared" si="59"/>
        <v>0</v>
      </c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</row>
    <row r="62" spans="6:88" ht="15" hidden="1">
      <c r="F62" s="307"/>
      <c r="G62">
        <v>18</v>
      </c>
      <c r="H62" s="17" t="s">
        <v>54</v>
      </c>
      <c r="I62" s="20" t="s">
        <v>122</v>
      </c>
      <c r="M62" s="308"/>
      <c r="N62" s="4" t="s">
        <v>95</v>
      </c>
      <c r="O62" s="4" t="s">
        <v>147</v>
      </c>
      <c r="U62" s="23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134"/>
      <c r="AR62" s="90"/>
      <c r="AS62" s="172"/>
      <c r="AT62" s="173"/>
      <c r="AU62" s="173"/>
      <c r="AV62" s="173"/>
      <c r="AW62" s="173"/>
      <c r="AX62" s="173"/>
      <c r="AY62" s="173"/>
      <c r="AZ62" s="173"/>
      <c r="BA62" s="133"/>
      <c r="BB62" s="133"/>
      <c r="BC62" s="133"/>
      <c r="BD62" s="133"/>
      <c r="BE62" s="178"/>
      <c r="BF62" s="178"/>
      <c r="BG62" s="175"/>
      <c r="BH62" s="133"/>
      <c r="BI62" s="133"/>
      <c r="BJ62" s="23"/>
      <c r="BK62" s="23"/>
      <c r="BL62" s="21">
        <f t="shared" si="60"/>
        <v>0</v>
      </c>
      <c r="BM62" s="22">
        <f t="shared" si="61"/>
        <v>0</v>
      </c>
      <c r="BN62" s="22">
        <f t="shared" si="62"/>
        <v>1</v>
      </c>
      <c r="BO62" s="22">
        <f t="shared" si="63"/>
        <v>0</v>
      </c>
      <c r="BP62" s="50"/>
      <c r="BQ62" s="22">
        <f t="shared" si="52"/>
        <v>0</v>
      </c>
      <c r="BR62" s="22">
        <f t="shared" si="53"/>
        <v>1</v>
      </c>
      <c r="BS62" s="22">
        <f t="shared" si="54"/>
        <v>0</v>
      </c>
      <c r="BT62" s="21">
        <f t="shared" si="55"/>
        <v>1</v>
      </c>
      <c r="BU62" s="22">
        <f t="shared" si="56"/>
        <v>0</v>
      </c>
      <c r="BV62" s="22">
        <f t="shared" si="56"/>
        <v>0</v>
      </c>
      <c r="BW62" s="22">
        <f t="shared" si="57"/>
        <v>1</v>
      </c>
      <c r="BX62" s="22">
        <f t="shared" si="58"/>
        <v>31</v>
      </c>
      <c r="BY62" s="22">
        <f t="shared" si="59"/>
        <v>0</v>
      </c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</row>
    <row r="63" spans="6:88" ht="15" hidden="1">
      <c r="F63" s="307"/>
      <c r="G63">
        <v>19</v>
      </c>
      <c r="H63" s="17" t="s">
        <v>55</v>
      </c>
      <c r="I63" s="20" t="s">
        <v>123</v>
      </c>
      <c r="M63" s="308"/>
      <c r="N63" s="4" t="s">
        <v>96</v>
      </c>
      <c r="O63" s="4" t="s">
        <v>148</v>
      </c>
      <c r="U63" s="23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134"/>
      <c r="AR63" s="90"/>
      <c r="AS63" s="172"/>
      <c r="AT63" s="173"/>
      <c r="AU63" s="173"/>
      <c r="AV63" s="173"/>
      <c r="AW63" s="173"/>
      <c r="AX63" s="173"/>
      <c r="AY63" s="173"/>
      <c r="AZ63" s="173"/>
      <c r="BA63" s="133"/>
      <c r="BB63" s="133"/>
      <c r="BC63" s="133"/>
      <c r="BD63" s="133"/>
      <c r="BE63" s="178"/>
      <c r="BF63" s="178"/>
      <c r="BG63" s="175"/>
      <c r="BH63" s="133"/>
      <c r="BI63" s="133"/>
      <c r="BJ63" s="23"/>
      <c r="BK63" s="23"/>
      <c r="BL63" s="21">
        <f t="shared" si="60"/>
        <v>0</v>
      </c>
      <c r="BM63" s="22">
        <f t="shared" si="61"/>
        <v>0</v>
      </c>
      <c r="BN63" s="22">
        <f t="shared" si="62"/>
        <v>1</v>
      </c>
      <c r="BO63" s="22">
        <f t="shared" si="63"/>
        <v>0</v>
      </c>
      <c r="BP63" s="50"/>
      <c r="BQ63" s="22">
        <f t="shared" si="52"/>
        <v>0</v>
      </c>
      <c r="BR63" s="22">
        <f t="shared" si="53"/>
        <v>1</v>
      </c>
      <c r="BS63" s="22">
        <f t="shared" si="54"/>
        <v>0</v>
      </c>
      <c r="BT63" s="21">
        <f t="shared" si="55"/>
        <v>1</v>
      </c>
      <c r="BU63" s="22">
        <f t="shared" si="56"/>
        <v>0</v>
      </c>
      <c r="BV63" s="22">
        <f t="shared" si="56"/>
        <v>0</v>
      </c>
      <c r="BW63" s="22">
        <f t="shared" si="57"/>
        <v>1</v>
      </c>
      <c r="BX63" s="22">
        <f t="shared" si="58"/>
        <v>31</v>
      </c>
      <c r="BY63" s="22">
        <f t="shared" si="59"/>
        <v>0</v>
      </c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</row>
    <row r="64" spans="6:88" ht="15" hidden="1">
      <c r="F64" s="307"/>
      <c r="G64">
        <v>20</v>
      </c>
      <c r="H64" s="17" t="s">
        <v>56</v>
      </c>
      <c r="I64" s="20" t="s">
        <v>124</v>
      </c>
      <c r="M64" s="308"/>
      <c r="N64" s="4" t="s">
        <v>97</v>
      </c>
      <c r="O64" s="4" t="s">
        <v>149</v>
      </c>
      <c r="U64" s="23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134"/>
      <c r="AR64" s="90"/>
      <c r="AS64" s="172"/>
      <c r="AT64" s="173"/>
      <c r="AU64" s="173"/>
      <c r="AV64" s="173"/>
      <c r="AW64" s="173"/>
      <c r="AX64" s="173"/>
      <c r="AY64" s="173"/>
      <c r="AZ64" s="173"/>
      <c r="BA64" s="133"/>
      <c r="BB64" s="133"/>
      <c r="BC64" s="133"/>
      <c r="BD64" s="133"/>
      <c r="BE64" s="178"/>
      <c r="BF64" s="178"/>
      <c r="BG64" s="175"/>
      <c r="BH64" s="133"/>
      <c r="BI64" s="133"/>
      <c r="BJ64" s="23"/>
      <c r="BK64" s="23"/>
      <c r="BL64" s="21">
        <f t="shared" si="60"/>
        <v>0</v>
      </c>
      <c r="BM64" s="22">
        <f t="shared" si="61"/>
        <v>0</v>
      </c>
      <c r="BN64" s="22">
        <f t="shared" si="62"/>
        <v>1</v>
      </c>
      <c r="BO64" s="22">
        <f t="shared" si="63"/>
        <v>0</v>
      </c>
      <c r="BP64" s="50"/>
      <c r="BQ64" s="22">
        <f t="shared" si="52"/>
        <v>0</v>
      </c>
      <c r="BR64" s="22">
        <f t="shared" si="53"/>
        <v>1</v>
      </c>
      <c r="BS64" s="22">
        <f t="shared" si="54"/>
        <v>0</v>
      </c>
      <c r="BT64" s="21">
        <f t="shared" si="55"/>
        <v>1</v>
      </c>
      <c r="BU64" s="22">
        <f t="shared" si="56"/>
        <v>0</v>
      </c>
      <c r="BV64" s="22">
        <f t="shared" si="56"/>
        <v>0</v>
      </c>
      <c r="BW64" s="22">
        <f t="shared" si="57"/>
        <v>1</v>
      </c>
      <c r="BX64" s="22">
        <f t="shared" si="58"/>
        <v>31</v>
      </c>
      <c r="BY64" s="22">
        <f t="shared" si="59"/>
        <v>0</v>
      </c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</row>
    <row r="65" spans="6:88" ht="15" hidden="1">
      <c r="F65" s="307"/>
      <c r="G65">
        <v>21</v>
      </c>
      <c r="H65" s="17" t="s">
        <v>57</v>
      </c>
      <c r="I65" s="20" t="s">
        <v>125</v>
      </c>
      <c r="M65" s="308"/>
      <c r="N65" s="4" t="s">
        <v>98</v>
      </c>
      <c r="O65" s="4" t="s">
        <v>150</v>
      </c>
      <c r="U65" s="23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134"/>
      <c r="AR65" s="90"/>
      <c r="AS65" s="172"/>
      <c r="AT65" s="173"/>
      <c r="AU65" s="173"/>
      <c r="AV65" s="173"/>
      <c r="AW65" s="173"/>
      <c r="AX65" s="173"/>
      <c r="AY65" s="173"/>
      <c r="AZ65" s="173"/>
      <c r="BA65" s="133"/>
      <c r="BB65" s="133"/>
      <c r="BC65" s="133"/>
      <c r="BD65" s="133"/>
      <c r="BE65" s="178"/>
      <c r="BF65" s="178"/>
      <c r="BG65" s="175"/>
      <c r="BH65" s="133"/>
      <c r="BI65" s="133"/>
      <c r="BJ65" s="23"/>
      <c r="BK65" s="23"/>
      <c r="BL65" s="21">
        <f t="shared" si="60"/>
        <v>0</v>
      </c>
      <c r="BM65" s="22">
        <f t="shared" si="61"/>
        <v>0</v>
      </c>
      <c r="BN65" s="22">
        <f t="shared" si="62"/>
        <v>1</v>
      </c>
      <c r="BO65" s="22">
        <f t="shared" si="63"/>
        <v>0</v>
      </c>
      <c r="BP65" s="50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</row>
    <row r="66" spans="6:88" ht="15" hidden="1">
      <c r="F66" s="307"/>
      <c r="G66">
        <v>22</v>
      </c>
      <c r="H66" s="17" t="s">
        <v>58</v>
      </c>
      <c r="I66" s="20" t="s">
        <v>126</v>
      </c>
      <c r="M66" s="308"/>
      <c r="N66" s="4" t="s">
        <v>99</v>
      </c>
      <c r="O66" s="4" t="s">
        <v>151</v>
      </c>
      <c r="U66" s="23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134"/>
      <c r="AR66" s="134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78"/>
      <c r="BF66" s="178"/>
      <c r="BG66" s="175"/>
      <c r="BH66" s="133"/>
      <c r="BI66" s="133"/>
      <c r="BJ66" s="23"/>
      <c r="BK66" s="23"/>
      <c r="BL66" s="21">
        <f t="shared" si="60"/>
        <v>0</v>
      </c>
      <c r="BM66" s="22">
        <f t="shared" si="61"/>
        <v>0</v>
      </c>
      <c r="BN66" s="22">
        <f t="shared" si="62"/>
        <v>1</v>
      </c>
      <c r="BO66" s="22">
        <f t="shared" si="63"/>
        <v>0</v>
      </c>
      <c r="BP66" s="50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</row>
    <row r="67" spans="6:88" ht="15" hidden="1">
      <c r="F67" s="307"/>
      <c r="G67">
        <v>23</v>
      </c>
      <c r="H67" s="17" t="s">
        <v>59</v>
      </c>
      <c r="I67" s="20" t="s">
        <v>127</v>
      </c>
      <c r="M67" s="308"/>
      <c r="N67" s="4" t="s">
        <v>100</v>
      </c>
      <c r="O67" s="4" t="s">
        <v>152</v>
      </c>
      <c r="U67" s="23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134"/>
      <c r="AR67" s="134"/>
      <c r="AS67" s="133"/>
      <c r="AT67" s="133"/>
      <c r="AU67" s="181"/>
      <c r="AV67" s="181"/>
      <c r="AW67" s="181"/>
      <c r="AX67" s="181"/>
      <c r="AY67" s="181"/>
      <c r="AZ67" s="181"/>
      <c r="BA67" s="133"/>
      <c r="BB67" s="133"/>
      <c r="BC67" s="133"/>
      <c r="BD67" s="133"/>
      <c r="BE67" s="178"/>
      <c r="BF67" s="133"/>
      <c r="BG67" s="133"/>
      <c r="BH67" s="133"/>
      <c r="BI67" s="13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</row>
    <row r="68" spans="6:88" ht="15" hidden="1">
      <c r="F68" s="307"/>
      <c r="G68">
        <v>24</v>
      </c>
      <c r="H68" s="17" t="s">
        <v>60</v>
      </c>
      <c r="I68" s="20" t="s">
        <v>128</v>
      </c>
      <c r="M68" s="308"/>
      <c r="N68" s="4" t="s">
        <v>101</v>
      </c>
      <c r="O68" s="4" t="s">
        <v>153</v>
      </c>
      <c r="U68" s="23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134"/>
      <c r="AR68" s="134"/>
      <c r="AS68" s="133"/>
      <c r="AT68" s="133"/>
      <c r="AU68" s="181"/>
      <c r="AV68" s="181"/>
      <c r="AW68" s="181"/>
      <c r="AX68" s="181"/>
      <c r="AY68" s="181"/>
      <c r="AZ68" s="181"/>
      <c r="BA68" s="133"/>
      <c r="BB68" s="133"/>
      <c r="BC68" s="133"/>
      <c r="BD68" s="133"/>
      <c r="BE68" s="178"/>
      <c r="BF68" s="178"/>
      <c r="BG68" s="133"/>
      <c r="BH68" s="133"/>
      <c r="BI68" s="13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</row>
    <row r="69" spans="6:88" ht="15" hidden="1">
      <c r="F69" s="307"/>
      <c r="G69">
        <v>25</v>
      </c>
      <c r="H69" s="9" t="s">
        <v>61</v>
      </c>
      <c r="I69" s="20" t="s">
        <v>129</v>
      </c>
      <c r="M69" s="308"/>
      <c r="N69" s="4" t="s">
        <v>102</v>
      </c>
      <c r="O69" s="4" t="s">
        <v>154</v>
      </c>
      <c r="U69" s="23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134"/>
      <c r="AR69" s="134"/>
      <c r="AS69" s="133"/>
      <c r="AT69" s="133"/>
      <c r="AU69" s="182"/>
      <c r="AV69" s="182"/>
      <c r="AW69" s="182"/>
      <c r="AX69" s="182"/>
      <c r="AY69" s="182"/>
      <c r="AZ69" s="182"/>
      <c r="BA69" s="133"/>
      <c r="BB69" s="133"/>
      <c r="BC69" s="133"/>
      <c r="BD69" s="133"/>
      <c r="BE69" s="133"/>
      <c r="BF69" s="133"/>
      <c r="BG69" s="133"/>
      <c r="BH69" s="133"/>
      <c r="BI69" s="13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</row>
    <row r="70" spans="21:88" ht="15" hidden="1">
      <c r="U70" s="23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134"/>
      <c r="AR70" s="134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</row>
    <row r="71" spans="3:88" ht="15.75" hidden="1" thickBot="1">
      <c r="C71" s="306" t="s">
        <v>205</v>
      </c>
      <c r="D71" s="306"/>
      <c r="E71" s="306"/>
      <c r="F71" s="306"/>
      <c r="G71" s="306"/>
      <c r="H71" s="306"/>
      <c r="M71" s="268" t="s">
        <v>207</v>
      </c>
      <c r="N71" s="268"/>
      <c r="O71" s="268"/>
      <c r="P71" s="268"/>
      <c r="Q71" s="268"/>
      <c r="U71" s="23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134"/>
      <c r="AR71" s="134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</row>
    <row r="72" spans="3:88" ht="15" customHeight="1" hidden="1">
      <c r="C72" s="80">
        <f>IF(H45=H7,1,IF(H46=H7,2,IF(H47=H7,3,IF(H48=H7,4,IF(H49=H7,5,IF(H50=H7,6,IF(H51=H7,7,"xxx")))))))</f>
        <v>4</v>
      </c>
      <c r="D72" s="81" t="str">
        <f>IF(H52=H7,8,IF(H53=H7,9,IF(H54=H7,10,IF(H55=H7,11,IF(H56=H7,12,IF(H57=H7,13,IF(H58=H7,14,"xxx")))))))</f>
        <v>xxx</v>
      </c>
      <c r="E72" s="82" t="str">
        <f>IF(H59=H7,15,IF(H60=H7,16,IF(H61=H7,17,IF(H62=H7,18,IF(H63=H7,19,IF(H64=H7,20,IF(H65=H7,21,"xxx")))))))</f>
        <v>xxx</v>
      </c>
      <c r="F72" s="83">
        <f>IF(C72="xxx",IF(D72="xxx",IF(E72="xxx",IF(H66=H7,22,IF(H67=H7,23,IF(H68=H7,24,IF(H69=H7,25)))),E72),D72),C72)</f>
        <v>4</v>
      </c>
      <c r="G72" s="274" t="str">
        <f>IF(C75="XXX",IF(F72=23,I67,IF(F72=24,I68,IF(F72=25,I69))),C75)</f>
        <v>5300-140-5440-150-5890-160-6690-180-7410-190-8170-220-8610-250-9110</v>
      </c>
      <c r="H72" s="274"/>
      <c r="I72" s="274"/>
      <c r="J72" s="274"/>
      <c r="K72" s="275"/>
      <c r="M72" s="88">
        <f>IF(N45=M7,1,IF(N46=M7,2,IF(N47=M7,3,IF(N48=M7,4,IF(N49=M7,5,IF(N50=M7,6,IF(N51=M7,7,"xxx")))))))</f>
        <v>5</v>
      </c>
      <c r="N72" s="86" t="str">
        <f>IF(N52=M7,8,IF(N53=M7,9,IF(N54=M7,10,IF(N55=M7,11,IF(N56=M7,12,IF(N57=M7,13,IF(N58=M7,14,"xxx")))))))</f>
        <v>xxx</v>
      </c>
      <c r="O72" s="86" t="str">
        <f>IF(N59=M7,15,IF(N60=M7,16,IF(N61=M7,17,IF(N62=M7,18,IF(N63=M7,19,IF(N64=M7,20,IF(N65=M7,21,"xxx")))))))</f>
        <v>xxx</v>
      </c>
      <c r="P72" s="89">
        <f>IF(M72="xxx",IF(N72="xxx",IF(O72="xxx",IF(N66=M7,22,IF(N67=M7,23,IF(N68=M7,24,IF(N69=M7,25)))),O72),N72),M72)</f>
        <v>5</v>
      </c>
      <c r="Q72" s="274" t="str">
        <f>IF(M75="XXX",IF(P72=23,O67,IF(P72=24,O68,IF(P72=25,O69))),M75)</f>
        <v>10470-270-11010-300-12210-330-13200-360-14640-400-16640-450-18440-500-21440-570-23720-630-26870</v>
      </c>
      <c r="R72" s="274"/>
      <c r="S72" s="274"/>
      <c r="T72" s="274"/>
      <c r="U72" s="274"/>
      <c r="V72" s="275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134"/>
      <c r="AR72" s="134"/>
      <c r="AS72" s="174"/>
      <c r="AT72" s="174"/>
      <c r="AU72" s="174"/>
      <c r="AV72" s="174"/>
      <c r="AW72" s="174"/>
      <c r="AX72" s="174"/>
      <c r="AY72" s="174"/>
      <c r="AZ72" s="174"/>
      <c r="BA72" s="133"/>
      <c r="BB72" s="133"/>
      <c r="BC72" s="133"/>
      <c r="BD72" s="133"/>
      <c r="BE72" s="133"/>
      <c r="BF72" s="133"/>
      <c r="BG72" s="133"/>
      <c r="BH72" s="133"/>
      <c r="BI72" s="13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</row>
    <row r="73" spans="3:88" ht="15" hidden="1">
      <c r="C73" s="281" t="str">
        <f>IF(F72=1,I45,IF(F72=2,I46,IF(F72=3,I47,IF(F72=4,I48,IF(F72=5,I49,IF(F72=6,I50,IF(F72=7,I51,IF(F72=8,I52,"XXX"))))))))</f>
        <v>5300-140-5440-150-5890-160-6690-180-7410-190-8170-220-8610-250-9110</v>
      </c>
      <c r="D73" s="282"/>
      <c r="E73" s="282"/>
      <c r="F73" s="282"/>
      <c r="G73" s="276"/>
      <c r="H73" s="276"/>
      <c r="I73" s="276"/>
      <c r="J73" s="276"/>
      <c r="K73" s="277"/>
      <c r="M73" s="270" t="str">
        <f>IF(P72=1,O45,IF(P72=2,O46,IF(P72=3,O47,IF(P72=4,O48,IF(P72=5,O49,IF(P72=6,O50,IF(P72=7,O51,IF(P72=8,O52,"XXX"))))))))</f>
        <v>10470-270-11010-300-12210-330-13200-360-14640-400-16640-450-18440-500-21440-570-23720-630-26870</v>
      </c>
      <c r="N73" s="271"/>
      <c r="O73" s="271"/>
      <c r="P73" s="271"/>
      <c r="Q73" s="276"/>
      <c r="R73" s="276"/>
      <c r="S73" s="276"/>
      <c r="T73" s="276"/>
      <c r="U73" s="276"/>
      <c r="V73" s="277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174"/>
      <c r="AT73" s="174"/>
      <c r="AU73" s="174"/>
      <c r="AV73" s="174"/>
      <c r="AW73" s="174"/>
      <c r="AX73" s="174"/>
      <c r="AY73" s="174"/>
      <c r="AZ73" s="174"/>
      <c r="BA73" s="133"/>
      <c r="BB73" s="133"/>
      <c r="BC73" s="133"/>
      <c r="BD73" s="133"/>
      <c r="BE73" s="133"/>
      <c r="BF73" s="133"/>
      <c r="BG73" s="133"/>
      <c r="BH73" s="182"/>
      <c r="BI73" s="182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</row>
    <row r="74" spans="3:88" ht="15" hidden="1">
      <c r="C74" s="281" t="str">
        <f>IF(C73="XXX",IF(F72=9,I53,IF(F72=10,I54,IF(F72=11,I55,IF(F72=12,I56,IF(F72=13,I57,IF(F72=14,I58,IF(F72=15,I59,"XXX"))))))),C73)</f>
        <v>5300-140-5440-150-5890-160-6690-180-7410-190-8170-220-8610-250-9110</v>
      </c>
      <c r="D74" s="282"/>
      <c r="E74" s="282"/>
      <c r="F74" s="282"/>
      <c r="G74" s="276"/>
      <c r="H74" s="276"/>
      <c r="I74" s="276"/>
      <c r="J74" s="276"/>
      <c r="K74" s="277"/>
      <c r="M74" s="270" t="str">
        <f>IF(M73="XXX",IF(P72=9,O53,IF(P72=10,O54,IF(P72=11,O55,IF(P72=12,O56,IF(P72=13,O57,IF(P72=14,O58,IF(P72=15,O59,"XXX"))))))),M73)</f>
        <v>10470-270-11010-300-12210-330-13200-360-14640-400-16640-450-18440-500-21440-570-23720-630-26870</v>
      </c>
      <c r="N74" s="271"/>
      <c r="O74" s="271"/>
      <c r="P74" s="271"/>
      <c r="Q74" s="276"/>
      <c r="R74" s="276"/>
      <c r="S74" s="276"/>
      <c r="T74" s="276"/>
      <c r="U74" s="276"/>
      <c r="V74" s="277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174"/>
      <c r="AT74" s="174"/>
      <c r="AU74" s="174"/>
      <c r="AV74" s="174"/>
      <c r="AW74" s="174"/>
      <c r="AX74" s="174"/>
      <c r="AY74" s="174"/>
      <c r="AZ74" s="174"/>
      <c r="BA74" s="133"/>
      <c r="BB74" s="133"/>
      <c r="BC74" s="133"/>
      <c r="BD74" s="133"/>
      <c r="BE74" s="133"/>
      <c r="BF74" s="133"/>
      <c r="BG74" s="133"/>
      <c r="BH74" s="183"/>
      <c r="BI74" s="175"/>
      <c r="BJ74" s="23"/>
      <c r="BK74" s="55" t="e">
        <f>IF(#REF!=0,0,IF(#REF!&gt;29,#REF!+1,#REF!+((#REF!-1)/30)))</f>
        <v>#REF!</v>
      </c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</row>
    <row r="75" spans="3:88" ht="15.75" hidden="1" thickBot="1">
      <c r="C75" s="315" t="str">
        <f>IF(C74="XXX",IF(F72=16,I60,IF(F72=17,I61,IF(F72=18,I62,IF(F72=19,I63,IF(F72=20,I64,IF(F72=21,I65,IF(F72=22,I66,"XXX"))))))),C74)</f>
        <v>5300-140-5440-150-5890-160-6690-180-7410-190-8170-220-8610-250-9110</v>
      </c>
      <c r="D75" s="316"/>
      <c r="E75" s="316"/>
      <c r="F75" s="316"/>
      <c r="G75" s="278"/>
      <c r="H75" s="278"/>
      <c r="I75" s="278"/>
      <c r="J75" s="278"/>
      <c r="K75" s="279"/>
      <c r="M75" s="272" t="str">
        <f>IF(M74="XXX",IF(P72=16,O60,IF(P72=17,O61,IF(P72=18,O62,IF(P72=19,O63,IF(P72=20,O64,IF(P72=21,O65,IF(P72=22,O66,"XXX"))))))),M74)</f>
        <v>10470-270-11010-300-12210-330-13200-360-14640-400-16640-450-18440-500-21440-570-23720-630-26870</v>
      </c>
      <c r="N75" s="273"/>
      <c r="O75" s="273"/>
      <c r="P75" s="273"/>
      <c r="Q75" s="278"/>
      <c r="R75" s="278"/>
      <c r="S75" s="278"/>
      <c r="T75" s="278"/>
      <c r="U75" s="278"/>
      <c r="V75" s="27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174"/>
      <c r="AT75" s="174"/>
      <c r="AU75" s="174"/>
      <c r="AV75" s="178"/>
      <c r="AW75" s="174"/>
      <c r="AX75" s="174"/>
      <c r="AY75" s="174"/>
      <c r="AZ75" s="174"/>
      <c r="BA75" s="133"/>
      <c r="BB75" s="133"/>
      <c r="BC75" s="133"/>
      <c r="BD75" s="133"/>
      <c r="BE75" s="133"/>
      <c r="BF75" s="133"/>
      <c r="BG75" s="133"/>
      <c r="BH75" s="183"/>
      <c r="BI75" s="175"/>
      <c r="BJ75" s="23"/>
      <c r="BK75" s="55" t="e">
        <f>IF(#REF!=0,0,IF(#REF!&gt;29,#REF!+1,#REF!+((#REF!-1)/30)))</f>
        <v>#REF!</v>
      </c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</row>
    <row r="76" spans="6:88" ht="15" hidden="1">
      <c r="F76" s="79"/>
      <c r="M76" s="84"/>
      <c r="U76" s="23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174"/>
      <c r="AT76" s="174"/>
      <c r="AU76" s="174"/>
      <c r="AV76" s="178"/>
      <c r="AW76" s="174"/>
      <c r="AX76" s="174"/>
      <c r="AY76" s="174"/>
      <c r="AZ76" s="174"/>
      <c r="BA76" s="133"/>
      <c r="BB76" s="133"/>
      <c r="BC76" s="133"/>
      <c r="BD76" s="133"/>
      <c r="BE76" s="133"/>
      <c r="BF76" s="133"/>
      <c r="BG76" s="133"/>
      <c r="BH76" s="183"/>
      <c r="BI76" s="175"/>
      <c r="BJ76" s="23"/>
      <c r="BK76" s="55" t="e">
        <f>IF(#REF!=0,0,IF(#REF!&gt;29,#REF!+1,#REF!+((#REF!-1)/30)))</f>
        <v>#REF!</v>
      </c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</row>
    <row r="77" spans="3:88" ht="15.75" hidden="1" thickBot="1">
      <c r="C77" s="317" t="s">
        <v>206</v>
      </c>
      <c r="D77" s="317"/>
      <c r="E77" s="317"/>
      <c r="F77" s="317"/>
      <c r="G77" s="317"/>
      <c r="H77" s="317"/>
      <c r="M77" s="269" t="s">
        <v>208</v>
      </c>
      <c r="N77" s="269"/>
      <c r="O77" s="269"/>
      <c r="P77" s="269"/>
      <c r="Q77" s="269"/>
      <c r="U77" s="23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174"/>
      <c r="AT77" s="174"/>
      <c r="AU77" s="174"/>
      <c r="AV77" s="174"/>
      <c r="AW77" s="174"/>
      <c r="AX77" s="174"/>
      <c r="AY77" s="174"/>
      <c r="AZ77" s="174"/>
      <c r="BA77" s="133"/>
      <c r="BB77" s="133"/>
      <c r="BC77" s="133"/>
      <c r="BD77" s="133"/>
      <c r="BE77" s="133"/>
      <c r="BF77" s="133"/>
      <c r="BG77" s="133"/>
      <c r="BH77" s="191"/>
      <c r="BI77" s="192"/>
      <c r="BJ77" s="23"/>
      <c r="BK77" s="55" t="e">
        <f>IF(#REF!=0,0,IF(#REF!&gt;29,#REF!+1,#REF!+((#REF!-1)/30)))</f>
        <v>#REF!</v>
      </c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</row>
    <row r="78" spans="3:88" ht="15" hidden="1">
      <c r="C78" s="85">
        <f>IF(H45=H9,1,IF(H46=H9,2,IF(H47=H9,3,IF(H48=H9,4,IF(H49=H9,5,IF(H50=H9,6,IF(H51=H9,7,"xxx")))))))</f>
        <v>7</v>
      </c>
      <c r="D78" s="86" t="str">
        <f>IF(H52=H9,8,IF(H53=H9,9,IF(H54=H9,10,IF(H55=H9,11,IF(H56=H9,12,IF(H57=H9,13,IF(H58=H9,14,"xxx")))))))</f>
        <v>xxx</v>
      </c>
      <c r="E78" s="86" t="str">
        <f>IF(H59=H9,15,IF(H60=H9,16,IF(H61=H9,17,IF(H62=H9,18,IF(H63=H9,19,IF(H64=H9,20,IF(H65=H9,21,"xxx")))))))</f>
        <v>xxx</v>
      </c>
      <c r="F78" s="87">
        <f>IF(C78="xxx",IF(D78="xxx",IF(E78="xxx",IF(H66=H9,22,IF(H67=H9,23,IF(H68=H9,24,IF(H69=H9,25)))),E78),D78),C78)</f>
        <v>7</v>
      </c>
      <c r="G78" s="274" t="str">
        <f>IF(C81="XXX",IF(F78=23,I67,IF(F78=24,I68,IF(F78=25,I69))),C81)</f>
        <v>6690-180-7410-190-8170-220-8610-250-9860-290-10730-340-11070</v>
      </c>
      <c r="H78" s="274"/>
      <c r="I78" s="274"/>
      <c r="J78" s="274"/>
      <c r="K78" s="275"/>
      <c r="M78" s="88" t="str">
        <f>IF(N45=M9,1,IF(N46=M9,2,IF(N47=M9,3,IF(N48=M9,4,IF(N49=M9,5,IF(N50=M9,6,IF(N51=M9,7,"xxx")))))))</f>
        <v>xxx</v>
      </c>
      <c r="N78" s="86">
        <f>IF(N52=M9,8,IF(N53=M9,9,IF(N54=M9,10,IF(N55=M9,11,IF(N56=M9,12,IF(N57=M9,13,IF(N58=M9,14,"xxx")))))))</f>
        <v>8</v>
      </c>
      <c r="O78" s="86" t="str">
        <f>IF(N59=M9,15,IF(N60=M9,16,IF(N61=M9,17,IF(N62=M9,18,IF(N63=M9,19,IF(N64=M9,20,IF(N65=M9,21,"xxx")))))))</f>
        <v>xxx</v>
      </c>
      <c r="P78" s="89">
        <f>IF(M78="xxx",IF(N78="xxx",IF(O78="xxx",IF(N66=M9,22,IF(N67=M9,23,IF(N68=M9,24,IF(N69=M9,25)))),O78),N78),M78)</f>
        <v>8</v>
      </c>
      <c r="Q78" s="274" t="str">
        <f>IF(M81="XXX",IF(P78=23,O67,IF(P78=24,O68,IF(P78=25,O69))),M81)</f>
        <v>13560-360-14640-400-16640-450-18440-500-21440-570-23720-630-26870-700-29670</v>
      </c>
      <c r="R78" s="274"/>
      <c r="S78" s="274"/>
      <c r="T78" s="274"/>
      <c r="U78" s="274"/>
      <c r="V78" s="275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174"/>
      <c r="AT78" s="174"/>
      <c r="AU78" s="174"/>
      <c r="AV78" s="174"/>
      <c r="AW78" s="174"/>
      <c r="AX78" s="174"/>
      <c r="AY78" s="174"/>
      <c r="AZ78" s="174"/>
      <c r="BA78" s="133"/>
      <c r="BB78" s="133"/>
      <c r="BC78" s="133"/>
      <c r="BD78" s="133"/>
      <c r="BE78" s="133"/>
      <c r="BF78" s="133"/>
      <c r="BG78" s="133"/>
      <c r="BH78" s="191"/>
      <c r="BI78" s="192"/>
      <c r="BJ78" s="23"/>
      <c r="BK78" s="55" t="e">
        <f>IF(#REF!=0,0,IF(#REF!&gt;29,#REF!+1,#REF!+((#REF!-1)/30)))</f>
        <v>#REF!</v>
      </c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</row>
    <row r="79" spans="3:88" ht="15" hidden="1">
      <c r="C79" s="281" t="str">
        <f>IF(F78=1,I45,IF(F78=2,I46,IF(F78=3,I47,IF(F78=4,I48,IF(F78=5,I49,IF(F78=6,I50,IF(F78=7,I51,IF(F78=8,I52,"XXX"))))))))</f>
        <v>6690-180-7410-190-8170-220-8610-250-9860-290-10730-340-11070</v>
      </c>
      <c r="D79" s="282"/>
      <c r="E79" s="282"/>
      <c r="F79" s="282"/>
      <c r="G79" s="276"/>
      <c r="H79" s="276"/>
      <c r="I79" s="276"/>
      <c r="J79" s="276"/>
      <c r="K79" s="277"/>
      <c r="M79" s="270" t="str">
        <f>IF(P78=1,O45,IF(P78=2,O46,IF(P78=3,O47,IF(P78=4,O48,IF(P78=5,O49,IF(P78=6,O50,IF(P78=7,O51,IF(P78=8,O52,"XXX"))))))))</f>
        <v>13560-360-14640-400-16640-450-18440-500-21440-570-23720-630-26870-700-29670</v>
      </c>
      <c r="N79" s="271"/>
      <c r="O79" s="271"/>
      <c r="P79" s="271"/>
      <c r="Q79" s="276"/>
      <c r="R79" s="276"/>
      <c r="S79" s="276"/>
      <c r="T79" s="276"/>
      <c r="U79" s="276"/>
      <c r="V79" s="277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172"/>
      <c r="AT79" s="173"/>
      <c r="AU79" s="173"/>
      <c r="AV79" s="173"/>
      <c r="AW79" s="173"/>
      <c r="AX79" s="173"/>
      <c r="AY79" s="173"/>
      <c r="AZ79" s="173"/>
      <c r="BA79" s="133"/>
      <c r="BB79" s="133"/>
      <c r="BC79" s="133"/>
      <c r="BD79" s="133"/>
      <c r="BE79" s="133"/>
      <c r="BF79" s="133"/>
      <c r="BG79" s="133"/>
      <c r="BH79" s="191"/>
      <c r="BI79" s="192"/>
      <c r="BJ79" s="23"/>
      <c r="BK79" s="55" t="e">
        <f>IF(#REF!=0,0,IF(#REF!&gt;29,#REF!+1,#REF!+((#REF!-1)/30)))</f>
        <v>#REF!</v>
      </c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</row>
    <row r="80" spans="3:88" ht="15" hidden="1">
      <c r="C80" s="281" t="str">
        <f>IF(C79="XXX",IF(F78=9,I53,IF(F78=10,I54,IF(F78=11,I55,IF(F78=12,I56,IF(F78=13,I57,IF(F78=14,I58,IF(F78=15,I59,"XXX"))))))),C79)</f>
        <v>6690-180-7410-190-8170-220-8610-250-9860-290-10730-340-11070</v>
      </c>
      <c r="D80" s="282"/>
      <c r="E80" s="282"/>
      <c r="F80" s="282"/>
      <c r="G80" s="276"/>
      <c r="H80" s="276"/>
      <c r="I80" s="276"/>
      <c r="J80" s="276"/>
      <c r="K80" s="277"/>
      <c r="M80" s="270" t="str">
        <f>IF(M79="XXX",IF(P78=9,O53,IF(P78=10,O54,IF(P78=11,O55,IF(P78=12,O56,IF(P78=13,O57,IF(P78=14,O58,IF(P78=15,O59,"XXX"))))))),M79)</f>
        <v>13560-360-14640-400-16640-450-18440-500-21440-570-23720-630-26870-700-29670</v>
      </c>
      <c r="N80" s="271"/>
      <c r="O80" s="271"/>
      <c r="P80" s="271"/>
      <c r="Q80" s="276"/>
      <c r="R80" s="276"/>
      <c r="S80" s="276"/>
      <c r="T80" s="276"/>
      <c r="U80" s="276"/>
      <c r="V80" s="277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172"/>
      <c r="AT80" s="172"/>
      <c r="AU80" s="172"/>
      <c r="AV80" s="172"/>
      <c r="AW80" s="172"/>
      <c r="AX80" s="172"/>
      <c r="AY80" s="172"/>
      <c r="AZ80" s="172"/>
      <c r="BA80" s="133"/>
      <c r="BB80" s="133"/>
      <c r="BC80" s="133"/>
      <c r="BD80" s="133"/>
      <c r="BE80" s="133"/>
      <c r="BF80" s="133"/>
      <c r="BG80" s="133"/>
      <c r="BH80" s="191"/>
      <c r="BI80" s="192"/>
      <c r="BJ80" s="23"/>
      <c r="BK80" s="55" t="e">
        <f>IF(#REF!=0,0,IF(#REF!&gt;29,#REF!+1,#REF!+((#REF!-1)/30)))</f>
        <v>#REF!</v>
      </c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</row>
    <row r="81" spans="3:88" ht="15.75" hidden="1" thickBot="1">
      <c r="C81" s="315" t="str">
        <f>IF(C80="XXX",IF(F78=16,I60,IF(F78=17,I61,IF(F78=18,I62,IF(F78=19,I63,IF(F78=20,I64,IF(F78=21,I65,IF(F78=22,I66,"XXX"))))))),C80)</f>
        <v>6690-180-7410-190-8170-220-8610-250-9860-290-10730-340-11070</v>
      </c>
      <c r="D81" s="316"/>
      <c r="E81" s="316"/>
      <c r="F81" s="316"/>
      <c r="G81" s="278"/>
      <c r="H81" s="278"/>
      <c r="I81" s="278"/>
      <c r="J81" s="278"/>
      <c r="K81" s="279"/>
      <c r="M81" s="272" t="str">
        <f>IF(M80="XXX",IF(P78=16,O60,IF(P78=17,O61,IF(P78=18,O62,IF(P78=19,O63,IF(P78=20,O64,IF(P78=21,O65,IF(P78=22,O66,"XXX"))))))),M80)</f>
        <v>13560-360-14640-400-16640-450-18440-500-21440-570-23720-630-26870-700-29670</v>
      </c>
      <c r="N81" s="273"/>
      <c r="O81" s="273"/>
      <c r="P81" s="273"/>
      <c r="Q81" s="278"/>
      <c r="R81" s="278"/>
      <c r="S81" s="278"/>
      <c r="T81" s="278"/>
      <c r="U81" s="278"/>
      <c r="V81" s="27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134"/>
      <c r="AM81" s="134"/>
      <c r="AN81" s="134"/>
      <c r="AO81" s="134"/>
      <c r="AP81" s="134"/>
      <c r="AQ81" s="134"/>
      <c r="AR81" s="134"/>
      <c r="AS81" s="172"/>
      <c r="AT81" s="173"/>
      <c r="AU81" s="173"/>
      <c r="AV81" s="173"/>
      <c r="AW81" s="173"/>
      <c r="AX81" s="173"/>
      <c r="AY81" s="173"/>
      <c r="AZ81" s="173"/>
      <c r="BA81" s="133"/>
      <c r="BB81" s="133"/>
      <c r="BC81" s="133"/>
      <c r="BD81" s="133"/>
      <c r="BE81" s="133"/>
      <c r="BF81" s="133"/>
      <c r="BG81" s="133"/>
      <c r="BH81" s="133"/>
      <c r="BI81" s="192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</row>
    <row r="82" spans="6:88" ht="15" hidden="1">
      <c r="F82" s="79"/>
      <c r="M82" s="79"/>
      <c r="U82" s="23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134"/>
      <c r="AM82" s="134"/>
      <c r="AN82" s="134"/>
      <c r="AO82" s="134"/>
      <c r="AP82" s="134"/>
      <c r="AQ82" s="134"/>
      <c r="AR82" s="134"/>
      <c r="AS82" s="172"/>
      <c r="AT82" s="173"/>
      <c r="AU82" s="173"/>
      <c r="AV82" s="173"/>
      <c r="AW82" s="173"/>
      <c r="AX82" s="173"/>
      <c r="AY82" s="173"/>
      <c r="AZ82" s="173"/>
      <c r="BA82" s="133"/>
      <c r="BB82" s="133"/>
      <c r="BC82" s="133"/>
      <c r="BD82" s="133"/>
      <c r="BE82" s="133"/>
      <c r="BF82" s="133"/>
      <c r="BG82" s="133"/>
      <c r="BH82" s="133"/>
      <c r="BI82" s="13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</row>
    <row r="83" spans="7:88" ht="15" hidden="1">
      <c r="G83" s="23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29"/>
      <c r="W83" s="29"/>
      <c r="X83" s="29"/>
      <c r="Y83" s="29"/>
      <c r="Z83" s="29"/>
      <c r="AA83" s="29"/>
      <c r="AB83" s="29"/>
      <c r="AC83" s="29"/>
      <c r="AD83" s="326" t="s">
        <v>212</v>
      </c>
      <c r="AE83" s="326"/>
      <c r="AF83" s="326"/>
      <c r="AG83" s="326"/>
      <c r="AH83" s="29"/>
      <c r="AI83" s="29"/>
      <c r="AJ83" s="29"/>
      <c r="AK83" s="29"/>
      <c r="AL83" s="134"/>
      <c r="AM83" s="54"/>
      <c r="AN83" s="134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26"/>
      <c r="BA83" s="126"/>
      <c r="BB83" s="126"/>
      <c r="BC83" s="126"/>
      <c r="BD83" s="126"/>
      <c r="BE83" s="126"/>
      <c r="BF83" s="133"/>
      <c r="BG83" s="133"/>
      <c r="BH83" s="133"/>
      <c r="BI83" s="13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</row>
    <row r="84" spans="7:88" ht="15.75" hidden="1">
      <c r="G84" s="23"/>
      <c r="H84" s="31">
        <v>1</v>
      </c>
      <c r="I84" s="31">
        <v>2</v>
      </c>
      <c r="J84" s="31">
        <v>3</v>
      </c>
      <c r="K84" s="31">
        <v>4</v>
      </c>
      <c r="L84" s="31">
        <v>5</v>
      </c>
      <c r="M84" s="31">
        <v>6</v>
      </c>
      <c r="N84" s="31">
        <v>7</v>
      </c>
      <c r="O84" s="31">
        <v>8</v>
      </c>
      <c r="P84" s="31">
        <v>9</v>
      </c>
      <c r="Q84" s="31">
        <v>10</v>
      </c>
      <c r="R84" s="31"/>
      <c r="S84" s="31"/>
      <c r="T84" s="31"/>
      <c r="U84" s="31"/>
      <c r="V84" s="31"/>
      <c r="W84" s="31"/>
      <c r="X84" s="31">
        <v>11</v>
      </c>
      <c r="Y84" s="31">
        <v>12</v>
      </c>
      <c r="Z84" s="31"/>
      <c r="AA84" s="31"/>
      <c r="AB84" s="31"/>
      <c r="AC84" s="29"/>
      <c r="AD84" s="29"/>
      <c r="AE84" s="29"/>
      <c r="AF84" s="31">
        <f>IF(IF(W11=0,15,IF(W11=J29,1,IF(W11&lt;J30,2,IF(W11=J30,3,IF(W11&lt;J31,4,IF(W11=J31,5,IF(W11&lt;J32,6,"xxx")))))))="xxx",IF(W11=J32,7,IF(W11&lt;J33,8,IF(W11=J33,9,IF(W11&lt;J34,10,IF(W11=J34,11,IF(W11&lt;J35,12,IF(W11=J35,13,14))))))),IF(W11=0,15,IF(W11=J29,1,IF(W11&lt;J30,2,IF(W11=J30,3,IF(W11&lt;J31,4,IF(W11=J31,5,IF(W11&lt;J32,6,"xxx"))))))))</f>
        <v>15</v>
      </c>
      <c r="AG84" s="29" t="s">
        <v>155</v>
      </c>
      <c r="AH84" s="29"/>
      <c r="AI84" s="29"/>
      <c r="AJ84" s="29"/>
      <c r="AK84" s="29"/>
      <c r="AL84" s="134"/>
      <c r="AM84" s="134"/>
      <c r="AN84" s="33"/>
      <c r="AO84" s="33"/>
      <c r="AP84" s="184"/>
      <c r="AQ84" s="184"/>
      <c r="AR84" s="184"/>
      <c r="AS84" s="184"/>
      <c r="AT84" s="184"/>
      <c r="AU84" s="184"/>
      <c r="AV84" s="184"/>
      <c r="AW84" s="133"/>
      <c r="AX84" s="133"/>
      <c r="AY84" s="133"/>
      <c r="AZ84" s="127"/>
      <c r="BA84" s="127"/>
      <c r="BB84" s="127"/>
      <c r="BC84" s="127"/>
      <c r="BD84" s="127"/>
      <c r="BE84" s="127"/>
      <c r="BF84" s="133"/>
      <c r="BG84" s="133"/>
      <c r="BH84" s="133"/>
      <c r="BI84" s="13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</row>
    <row r="85" spans="6:88" ht="15" hidden="1">
      <c r="F85" s="280" t="s">
        <v>161</v>
      </c>
      <c r="G85" s="280"/>
      <c r="H85" s="97">
        <f>J29</f>
        <v>39995</v>
      </c>
      <c r="I85" s="35">
        <f>J30</f>
        <v>40210</v>
      </c>
      <c r="J85" s="35">
        <f>J31</f>
        <v>40226</v>
      </c>
      <c r="K85" s="35">
        <f>J32</f>
        <v>40575</v>
      </c>
      <c r="L85" s="35">
        <f>J33</f>
        <v>40591</v>
      </c>
      <c r="M85" s="35">
        <f>J34</f>
        <v>40940</v>
      </c>
      <c r="N85" s="35">
        <f>J35</f>
        <v>40956</v>
      </c>
      <c r="O85" s="35">
        <f>J36</f>
        <v>41306</v>
      </c>
      <c r="P85" s="35">
        <f>J37</f>
        <v>41322</v>
      </c>
      <c r="Q85" s="35">
        <f>J38</f>
        <v>40781</v>
      </c>
      <c r="R85" s="35"/>
      <c r="S85" s="35"/>
      <c r="T85" s="35"/>
      <c r="U85" s="35"/>
      <c r="V85" s="32"/>
      <c r="W85" s="29"/>
      <c r="X85" s="32">
        <f>J38</f>
        <v>40781</v>
      </c>
      <c r="Y85" s="32">
        <f>J39</f>
        <v>40940</v>
      </c>
      <c r="Z85" s="32"/>
      <c r="AA85" s="32"/>
      <c r="AB85" s="32"/>
      <c r="AC85" s="32"/>
      <c r="AD85" s="32" t="s">
        <v>213</v>
      </c>
      <c r="AE85" s="53" t="str">
        <f>Home!K24</f>
        <v>Option B</v>
      </c>
      <c r="AF85" s="36">
        <f>X85</f>
        <v>40781</v>
      </c>
      <c r="AG85" s="35">
        <f>Y85</f>
        <v>40940</v>
      </c>
      <c r="AH85" s="35"/>
      <c r="AI85" s="35"/>
      <c r="AJ85" s="35"/>
      <c r="AK85" s="29"/>
      <c r="AL85" s="134"/>
      <c r="AM85" s="193"/>
      <c r="AN85" s="193"/>
      <c r="AO85" s="172"/>
      <c r="AP85" s="176"/>
      <c r="AQ85" s="176"/>
      <c r="AR85" s="176"/>
      <c r="AS85" s="176"/>
      <c r="AT85" s="176"/>
      <c r="AU85" s="176"/>
      <c r="AV85" s="176"/>
      <c r="AW85" s="133"/>
      <c r="AX85" s="133"/>
      <c r="AY85" s="133"/>
      <c r="AZ85" s="127"/>
      <c r="BA85" s="127"/>
      <c r="BB85" s="127"/>
      <c r="BC85" s="127"/>
      <c r="BD85" s="127"/>
      <c r="BE85" s="127"/>
      <c r="BF85" s="133"/>
      <c r="BG85" s="133"/>
      <c r="BH85" s="133"/>
      <c r="BI85" s="13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</row>
    <row r="86" spans="6:88" ht="30" customHeight="1" hidden="1">
      <c r="F86" s="280" t="s">
        <v>33</v>
      </c>
      <c r="G86" s="280"/>
      <c r="H86" s="98" t="s">
        <v>156</v>
      </c>
      <c r="I86" s="99" t="s">
        <v>156</v>
      </c>
      <c r="J86" s="99" t="s">
        <v>156</v>
      </c>
      <c r="K86" s="99" t="s">
        <v>156</v>
      </c>
      <c r="L86" s="99" t="s">
        <v>156</v>
      </c>
      <c r="M86" s="99" t="s">
        <v>156</v>
      </c>
      <c r="N86" s="99" t="s">
        <v>156</v>
      </c>
      <c r="O86" s="99" t="s">
        <v>156</v>
      </c>
      <c r="P86" s="99" t="s">
        <v>156</v>
      </c>
      <c r="Q86" s="99" t="s">
        <v>156</v>
      </c>
      <c r="R86" s="37"/>
      <c r="S86" s="37"/>
      <c r="T86" s="37"/>
      <c r="U86" s="37"/>
      <c r="V86" s="37"/>
      <c r="W86" s="29"/>
      <c r="X86" s="107" t="str">
        <f>AF86</f>
        <v>Higher Post Option A</v>
      </c>
      <c r="Y86" s="107" t="str">
        <f>AG86</f>
        <v>Higher Post Option B</v>
      </c>
      <c r="Z86" s="107"/>
      <c r="AA86" s="107"/>
      <c r="AB86" s="107"/>
      <c r="AC86" s="37"/>
      <c r="AD86" s="37"/>
      <c r="AE86" s="103">
        <f>IF(AE85="Rule 30",1,IF(AE85="Other",0,2))</f>
        <v>2</v>
      </c>
      <c r="AF86" s="106" t="str">
        <f>IF(AE86=1,"Higher Post",IF(AE85=0,"Higher Post","Higher Post Option A"))</f>
        <v>Higher Post Option A</v>
      </c>
      <c r="AG86" s="107" t="str">
        <f>IF(H39=AG85,"Higher Post Option B","Higher Post")</f>
        <v>Higher Post Option B</v>
      </c>
      <c r="AH86" s="38"/>
      <c r="AI86" s="38"/>
      <c r="AJ86" s="38"/>
      <c r="AK86" s="29"/>
      <c r="AL86" s="134"/>
      <c r="AM86" s="194"/>
      <c r="AN86" s="193"/>
      <c r="AO86" s="33"/>
      <c r="AP86" s="185"/>
      <c r="AQ86" s="185"/>
      <c r="AR86" s="173"/>
      <c r="AS86" s="185"/>
      <c r="AT86" s="185"/>
      <c r="AU86" s="185"/>
      <c r="AV86" s="185"/>
      <c r="AW86" s="133"/>
      <c r="AX86" s="133"/>
      <c r="AY86" s="133"/>
      <c r="AZ86" s="127"/>
      <c r="BA86" s="127"/>
      <c r="BB86" s="133"/>
      <c r="BC86" s="133"/>
      <c r="BD86" s="179"/>
      <c r="BE86" s="179"/>
      <c r="BF86" s="133"/>
      <c r="BG86" s="133"/>
      <c r="BH86" s="133"/>
      <c r="BI86" s="13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</row>
    <row r="87" spans="6:88" ht="15" hidden="1">
      <c r="F87" s="280" t="s">
        <v>162</v>
      </c>
      <c r="G87" s="280"/>
      <c r="H87" s="40">
        <f>K29</f>
        <v>3</v>
      </c>
      <c r="I87" s="31">
        <f>K30</f>
        <v>3</v>
      </c>
      <c r="J87" s="31">
        <f>K31</f>
        <v>4</v>
      </c>
      <c r="K87" s="31">
        <f>K32</f>
        <v>4</v>
      </c>
      <c r="L87" s="31">
        <f>K33</f>
        <v>5</v>
      </c>
      <c r="M87" s="31">
        <f>K34</f>
        <v>5</v>
      </c>
      <c r="N87" s="31">
        <f>K35</f>
        <v>6</v>
      </c>
      <c r="O87" s="31">
        <f>K36</f>
        <v>6</v>
      </c>
      <c r="P87" s="31">
        <f>K37</f>
        <v>7</v>
      </c>
      <c r="Q87" s="31">
        <f>K38</f>
        <v>5</v>
      </c>
      <c r="R87" s="31"/>
      <c r="S87" s="31"/>
      <c r="T87" s="31"/>
      <c r="U87" s="31"/>
      <c r="V87" s="29"/>
      <c r="W87" s="29"/>
      <c r="X87" s="31">
        <f>K38</f>
        <v>5</v>
      </c>
      <c r="Y87" s="31">
        <f>K39</f>
        <v>5</v>
      </c>
      <c r="Z87" s="31"/>
      <c r="AA87" s="31"/>
      <c r="AB87" s="31"/>
      <c r="AC87" s="31"/>
      <c r="AD87" s="104" t="str">
        <f>IF(AE87=2,"28A ","37A")</f>
        <v>28A </v>
      </c>
      <c r="AE87" s="105">
        <f>IF(AF97&gt;20700,1,2)</f>
        <v>2</v>
      </c>
      <c r="AF87" s="31"/>
      <c r="AG87" s="31">
        <f>IF(AG85&lt;I85,H87,IF(AG85&lt;J85,I87,IF(AG85&lt;K85,J87,IF(AG85&lt;L85,K87,IF(AG85&lt;M85,L87,IF(AG85&lt;N85,M87,N87))))))</f>
        <v>5</v>
      </c>
      <c r="AH87" s="31"/>
      <c r="AI87" s="31"/>
      <c r="AJ87" s="31"/>
      <c r="AK87" s="29"/>
      <c r="AL87" s="134"/>
      <c r="AM87" s="33"/>
      <c r="AN87" s="33"/>
      <c r="AO87" s="33"/>
      <c r="AP87" s="173"/>
      <c r="AQ87" s="173"/>
      <c r="AR87" s="173"/>
      <c r="AS87" s="173"/>
      <c r="AT87" s="173"/>
      <c r="AU87" s="173"/>
      <c r="AV87" s="173"/>
      <c r="AW87" s="133"/>
      <c r="AX87" s="133"/>
      <c r="AY87" s="133"/>
      <c r="AZ87" s="127"/>
      <c r="BA87" s="127"/>
      <c r="BB87" s="133"/>
      <c r="BC87" s="133"/>
      <c r="BD87" s="173"/>
      <c r="BE87" s="173"/>
      <c r="BF87" s="133"/>
      <c r="BG87" s="133"/>
      <c r="BH87" s="133"/>
      <c r="BI87" s="13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</row>
    <row r="88" spans="6:88" ht="15" hidden="1">
      <c r="F88" s="280" t="s">
        <v>157</v>
      </c>
      <c r="G88" s="280"/>
      <c r="H88" s="41">
        <f>H5</f>
        <v>6870</v>
      </c>
      <c r="I88" s="39">
        <f>IF(I85&gt;=N5,H88+H114,H88)</f>
        <v>7050</v>
      </c>
      <c r="J88" s="39">
        <f>IF(DATE(YEAR(J85),MONTH(J85),DAY(J85))&gt;=DATE(YEAR(N5)+1,MONTH(N5),DAY(1)),I88+I114,IF(J85&gt;=N5,H88+H114,I88))</f>
        <v>7050</v>
      </c>
      <c r="K88" s="39">
        <f>IF(DATE(YEAR(K85),MONTH(K85),DAY(K85))&gt;=DATE(YEAR(J85)+1,MONTH(J85),DAY(1)),J88+J114,I88+I114)</f>
        <v>7230</v>
      </c>
      <c r="L88" s="39">
        <f>IF(DATE(YEAR(L85),MONTH(L85),DAY(L85))&gt;=DATE(YEAR(K85)+1,MONTH(K85),DAY(1)),K88+K114,J88+J114)</f>
        <v>7230</v>
      </c>
      <c r="M88" s="39">
        <f>IF(DATE(YEAR(M85),MONTH(M85),DAY(M85))&gt;=DATE(YEAR(L85)+1,MONTH(L85),DAY(1)),L88+L114,K88+K114)</f>
        <v>7410</v>
      </c>
      <c r="N88" s="39">
        <f>L88+L114</f>
        <v>7410</v>
      </c>
      <c r="O88" s="39">
        <f>M88+M114</f>
        <v>7600</v>
      </c>
      <c r="P88" s="39">
        <f>N88+N114</f>
        <v>7600</v>
      </c>
      <c r="Q88" s="39">
        <f>IF(Q85&gt;=P85,P88,IF(Q85&gt;=O85,O88,IF(Q85&gt;=N85,N88,IF(Q85&gt;=M85,M88,IF(Q85&gt;=L85,L88,IF(Q85&gt;=K85,K88,IF(Q85&gt;=J85,J88,IF(Q85&gt;=I85,I88,H88))))))))</f>
        <v>7230</v>
      </c>
      <c r="R88" s="39"/>
      <c r="S88" s="39"/>
      <c r="T88" s="39"/>
      <c r="U88" s="39"/>
      <c r="V88" s="29"/>
      <c r="W88" s="29"/>
      <c r="X88" s="39">
        <f>AF103</f>
        <v>7600</v>
      </c>
      <c r="Y88" s="39">
        <f>AG103</f>
        <v>7790</v>
      </c>
      <c r="Z88" s="39"/>
      <c r="AA88" s="39"/>
      <c r="AB88" s="39"/>
      <c r="AC88" s="39"/>
      <c r="AD88" s="39" t="s">
        <v>216</v>
      </c>
      <c r="AE88" s="31"/>
      <c r="AF88" s="39">
        <f>Q88+Q89+Q90</f>
        <v>7230</v>
      </c>
      <c r="AG88" s="39">
        <f>AF88+AF93</f>
        <v>7410</v>
      </c>
      <c r="AH88" s="39"/>
      <c r="AI88" s="39"/>
      <c r="AJ88" s="39"/>
      <c r="AK88" s="29"/>
      <c r="AL88" s="134"/>
      <c r="AM88" s="195"/>
      <c r="AN88" s="195"/>
      <c r="AO88" s="33"/>
      <c r="AP88" s="173"/>
      <c r="AQ88" s="173"/>
      <c r="AR88" s="173"/>
      <c r="AS88" s="173"/>
      <c r="AT88" s="173"/>
      <c r="AU88" s="173"/>
      <c r="AV88" s="173"/>
      <c r="AW88" s="133"/>
      <c r="AX88" s="133"/>
      <c r="AY88" s="133"/>
      <c r="AZ88" s="127"/>
      <c r="BA88" s="127"/>
      <c r="BB88" s="133"/>
      <c r="BC88" s="133"/>
      <c r="BD88" s="133"/>
      <c r="BE88" s="133"/>
      <c r="BF88" s="133"/>
      <c r="BG88" s="133"/>
      <c r="BH88" s="133"/>
      <c r="BI88" s="13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</row>
    <row r="89" spans="6:88" ht="15" hidden="1">
      <c r="F89" s="280" t="s">
        <v>202</v>
      </c>
      <c r="G89" s="280"/>
      <c r="H89" s="41">
        <f>H6</f>
        <v>0</v>
      </c>
      <c r="I89" s="39">
        <f>H6</f>
        <v>0</v>
      </c>
      <c r="J89" s="39">
        <f>H6</f>
        <v>0</v>
      </c>
      <c r="K89" s="39">
        <f>H6</f>
        <v>0</v>
      </c>
      <c r="L89" s="39">
        <f>H6</f>
        <v>0</v>
      </c>
      <c r="M89" s="39">
        <f>H6</f>
        <v>0</v>
      </c>
      <c r="N89" s="39">
        <f>H6</f>
        <v>0</v>
      </c>
      <c r="O89" s="39">
        <f>H6</f>
        <v>0</v>
      </c>
      <c r="P89" s="39">
        <f>H6</f>
        <v>0</v>
      </c>
      <c r="Q89" s="39">
        <f>H6</f>
        <v>0</v>
      </c>
      <c r="R89" s="39"/>
      <c r="S89" s="39"/>
      <c r="T89" s="39"/>
      <c r="U89" s="39"/>
      <c r="V89" s="39"/>
      <c r="W89" s="29"/>
      <c r="X89" s="39"/>
      <c r="Y89" s="39"/>
      <c r="Z89" s="39"/>
      <c r="AA89" s="39"/>
      <c r="AB89" s="39"/>
      <c r="AC89" s="39"/>
      <c r="AD89" t="s">
        <v>215</v>
      </c>
      <c r="AE89" s="31"/>
      <c r="AF89" s="40">
        <f>VALUE(RIGHT(RIGHT(H7,8),LEN(RIGHT(H7,8))-FIND("-",RIGHT(H7,8),1)))</f>
        <v>9110</v>
      </c>
      <c r="AG89" s="40">
        <f>VALUE(RIGHT(RIGHT(H7,8),LEN(RIGHT(H7,8))-FIND("-",RIGHT(H7,8),1)))</f>
        <v>9110</v>
      </c>
      <c r="AH89" s="41"/>
      <c r="AI89" s="41"/>
      <c r="AJ89" s="41"/>
      <c r="AK89" s="29"/>
      <c r="AL89" s="134"/>
      <c r="AM89" s="195"/>
      <c r="AN89" s="195"/>
      <c r="AO89" s="33"/>
      <c r="AP89" s="173"/>
      <c r="AQ89" s="173"/>
      <c r="AR89" s="173"/>
      <c r="AS89" s="173"/>
      <c r="AT89" s="173"/>
      <c r="AU89" s="173"/>
      <c r="AV89" s="173"/>
      <c r="AW89" s="133"/>
      <c r="AX89" s="133"/>
      <c r="AY89" s="133"/>
      <c r="AZ89" s="127"/>
      <c r="BA89" s="127"/>
      <c r="BB89" s="133"/>
      <c r="BC89" s="133"/>
      <c r="BD89" s="133"/>
      <c r="BE89" s="133"/>
      <c r="BF89" s="133"/>
      <c r="BG89" s="133"/>
      <c r="BH89" s="133"/>
      <c r="BI89" s="13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</row>
    <row r="90" spans="6:88" ht="15" hidden="1">
      <c r="F90" s="280" t="s">
        <v>203</v>
      </c>
      <c r="G90" s="280"/>
      <c r="H90" s="41">
        <f>N6</f>
        <v>0</v>
      </c>
      <c r="I90" s="39">
        <f>N6</f>
        <v>0</v>
      </c>
      <c r="J90" s="39">
        <f>N6</f>
        <v>0</v>
      </c>
      <c r="K90" s="39">
        <f>N6</f>
        <v>0</v>
      </c>
      <c r="L90" s="39">
        <f>N6</f>
        <v>0</v>
      </c>
      <c r="M90" s="39">
        <f>N6</f>
        <v>0</v>
      </c>
      <c r="N90" s="39">
        <f>N6</f>
        <v>0</v>
      </c>
      <c r="O90" s="39">
        <f>N6</f>
        <v>0</v>
      </c>
      <c r="P90" s="39">
        <f>N6</f>
        <v>0</v>
      </c>
      <c r="Q90" s="39">
        <f>N6</f>
        <v>0</v>
      </c>
      <c r="R90" s="39"/>
      <c r="S90" s="39"/>
      <c r="T90" s="39"/>
      <c r="U90" s="39"/>
      <c r="V90" s="39"/>
      <c r="W90" s="29"/>
      <c r="X90" s="39"/>
      <c r="Y90" s="39"/>
      <c r="Z90" s="39"/>
      <c r="AA90" s="39"/>
      <c r="AB90" s="39"/>
      <c r="AC90" s="39"/>
      <c r="AD90" s="39" t="s">
        <v>181</v>
      </c>
      <c r="AE90" s="31"/>
      <c r="AF90" s="31">
        <f>IF(AF88&gt;=AF89,AF89-1,AF88)</f>
        <v>7230</v>
      </c>
      <c r="AG90" s="31">
        <f>IF(AG88&gt;=AG89,AG89-1,AG88)</f>
        <v>7410</v>
      </c>
      <c r="AH90" s="31"/>
      <c r="AI90" s="31"/>
      <c r="AJ90" s="31"/>
      <c r="AK90" s="29"/>
      <c r="AL90" s="134"/>
      <c r="AM90" s="195"/>
      <c r="AN90" s="195"/>
      <c r="AO90" s="33"/>
      <c r="AP90" s="173"/>
      <c r="AQ90" s="173"/>
      <c r="AR90" s="173"/>
      <c r="AS90" s="173"/>
      <c r="AT90" s="173"/>
      <c r="AU90" s="173"/>
      <c r="AV90" s="173"/>
      <c r="AW90" s="133"/>
      <c r="AX90" s="133"/>
      <c r="AY90" s="133"/>
      <c r="AZ90" s="127"/>
      <c r="BA90" s="127"/>
      <c r="BB90" s="133"/>
      <c r="BC90" s="133"/>
      <c r="BD90" s="133"/>
      <c r="BE90" s="133"/>
      <c r="BF90" s="133"/>
      <c r="BG90" s="133"/>
      <c r="BH90" s="133"/>
      <c r="BI90" s="13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</row>
    <row r="91" spans="6:88" ht="15" hidden="1">
      <c r="F91" s="318" t="s">
        <v>163</v>
      </c>
      <c r="G91" s="318"/>
      <c r="H91" s="40">
        <f>ROUND((H88+H89+H90)*0.64,0)</f>
        <v>4397</v>
      </c>
      <c r="I91" s="40">
        <f aca="true" t="shared" si="64" ref="I91:Q91">ROUND((I88+I89+I90)*0.64,0)</f>
        <v>4512</v>
      </c>
      <c r="J91" s="40">
        <f t="shared" si="64"/>
        <v>4512</v>
      </c>
      <c r="K91" s="40">
        <f t="shared" si="64"/>
        <v>4627</v>
      </c>
      <c r="L91" s="40">
        <f t="shared" si="64"/>
        <v>4627</v>
      </c>
      <c r="M91" s="40">
        <f t="shared" si="64"/>
        <v>4742</v>
      </c>
      <c r="N91" s="40">
        <f t="shared" si="64"/>
        <v>4742</v>
      </c>
      <c r="O91" s="40">
        <f t="shared" si="64"/>
        <v>4864</v>
      </c>
      <c r="P91" s="40">
        <f t="shared" si="64"/>
        <v>4864</v>
      </c>
      <c r="Q91" s="40">
        <f t="shared" si="64"/>
        <v>4627</v>
      </c>
      <c r="R91" s="40"/>
      <c r="S91" s="40"/>
      <c r="T91" s="40"/>
      <c r="U91" s="40"/>
      <c r="V91" s="40"/>
      <c r="W91" s="29"/>
      <c r="X91" s="40">
        <f>ROUND(X88*0.64,0)</f>
        <v>4864</v>
      </c>
      <c r="Y91" s="40">
        <f>ROUND(Y88*0.64,0)</f>
        <v>4986</v>
      </c>
      <c r="Z91" s="40"/>
      <c r="AA91" s="40"/>
      <c r="AB91" s="40"/>
      <c r="AC91" s="40"/>
      <c r="AD91" s="40"/>
      <c r="AE91" s="40"/>
      <c r="AF91" s="48" t="str">
        <f>IF(AF90&gt;=31980,700,IF(AF90&gt;=26780,650,IF(AF90&gt;=26180,600,IF(AF90&gt;=20680,550,IF(AF90&gt;=16180,500,IF(AF90&gt;=12580,450,IF(AF90&gt;=11410,390,IF(AF90&gt;=10730,340,"xxx"))))))))</f>
        <v>xxx</v>
      </c>
      <c r="AG91" s="48" t="str">
        <f>IF(AG90&gt;=31980,700,IF(AG90&gt;=26780,650,IF(AG90&gt;=26180,600,IF(AG90&gt;=20680,550,IF(AG90&gt;=16180,500,IF(AG90&gt;=12580,450,IF(AG90&gt;=11410,390,IF(AG90&gt;=10730,340,"xxx"))))))))</f>
        <v>xxx</v>
      </c>
      <c r="AH91" s="48"/>
      <c r="AI91" s="48"/>
      <c r="AJ91" s="48"/>
      <c r="AK91" s="29"/>
      <c r="AL91" s="134"/>
      <c r="AM91" s="196"/>
      <c r="AN91" s="196"/>
      <c r="AO91" s="33"/>
      <c r="AP91" s="173"/>
      <c r="AQ91" s="173"/>
      <c r="AR91" s="173"/>
      <c r="AS91" s="173"/>
      <c r="AT91" s="173"/>
      <c r="AU91" s="173"/>
      <c r="AV91" s="173"/>
      <c r="AW91" s="133"/>
      <c r="AX91" s="133"/>
      <c r="AY91" s="133"/>
      <c r="AZ91" s="127"/>
      <c r="BA91" s="127"/>
      <c r="BB91" s="133"/>
      <c r="BC91" s="133"/>
      <c r="BD91" s="174"/>
      <c r="BE91" s="174"/>
      <c r="BF91" s="133"/>
      <c r="BG91" s="133"/>
      <c r="BH91" s="133"/>
      <c r="BI91" s="13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</row>
    <row r="92" spans="6:88" ht="15" hidden="1">
      <c r="F92" s="318" t="s">
        <v>164</v>
      </c>
      <c r="G92" s="318"/>
      <c r="H92" s="40">
        <f>IF(ROUND((H88+H89)*0.1,0)&lt;1000,1000,ROUND((H88+H89)*0.1,0))</f>
        <v>1000</v>
      </c>
      <c r="I92" s="40">
        <f aca="true" t="shared" si="65" ref="I92:Q92">IF(ROUND((I88+I89)*0.1,0)&lt;1000,1000,ROUND((I88+I89)*0.1,0))</f>
        <v>1000</v>
      </c>
      <c r="J92" s="40">
        <f t="shared" si="65"/>
        <v>1000</v>
      </c>
      <c r="K92" s="40">
        <f t="shared" si="65"/>
        <v>1000</v>
      </c>
      <c r="L92" s="40">
        <f t="shared" si="65"/>
        <v>1000</v>
      </c>
      <c r="M92" s="40">
        <f t="shared" si="65"/>
        <v>1000</v>
      </c>
      <c r="N92" s="40">
        <f t="shared" si="65"/>
        <v>1000</v>
      </c>
      <c r="O92" s="40">
        <f t="shared" si="65"/>
        <v>1000</v>
      </c>
      <c r="P92" s="40">
        <f t="shared" si="65"/>
        <v>1000</v>
      </c>
      <c r="Q92" s="40">
        <f t="shared" si="65"/>
        <v>1000</v>
      </c>
      <c r="R92" s="40"/>
      <c r="S92" s="40"/>
      <c r="T92" s="40"/>
      <c r="U92" s="40"/>
      <c r="V92" s="40"/>
      <c r="W92" s="29"/>
      <c r="X92" s="40">
        <f>IF(ROUND(X88*0.1,0)&lt;1000,1000,ROUND(X88*0.1,0))</f>
        <v>1000</v>
      </c>
      <c r="Y92" s="40">
        <f>IF(ROUND(Y88*0.1,0)&lt;1000,1000,ROUND(Y88*0.1,0))</f>
        <v>1000</v>
      </c>
      <c r="Z92" s="40"/>
      <c r="AA92" s="40"/>
      <c r="AB92" s="40"/>
      <c r="AC92" s="40"/>
      <c r="AD92" s="40"/>
      <c r="AE92" s="40"/>
      <c r="AF92" s="48">
        <f>IF(AF91="xxx",IF(AF90&gt;=9860,290,IF(AF90&gt;=8610,250,IF(AF90&gt;=8170,220,IF(AF90&gt;=7410,190,IF(AF90&gt;=6690,180,"XXX"))))),AF91)</f>
        <v>180</v>
      </c>
      <c r="AG92" s="48">
        <f>IF(AG91="xxx",IF(AG90&gt;=9860,290,IF(AG90&gt;=8610,250,IF(AG90&gt;=8170,220,IF(AG90&gt;=7410,190,IF(AG90&gt;=6690,180,"XXX"))))),AG91)</f>
        <v>190</v>
      </c>
      <c r="AH92" s="48"/>
      <c r="AI92" s="48"/>
      <c r="AJ92" s="48"/>
      <c r="AK92" s="29"/>
      <c r="AL92" s="134"/>
      <c r="AM92" s="196"/>
      <c r="AN92" s="196"/>
      <c r="AO92" s="33"/>
      <c r="AP92" s="173"/>
      <c r="AQ92" s="173"/>
      <c r="AR92" s="173"/>
      <c r="AS92" s="173"/>
      <c r="AT92" s="173"/>
      <c r="AU92" s="173"/>
      <c r="AV92" s="173"/>
      <c r="AW92" s="133"/>
      <c r="AX92" s="133"/>
      <c r="AY92" s="133"/>
      <c r="AZ92" s="127"/>
      <c r="BA92" s="127"/>
      <c r="BB92" s="133"/>
      <c r="BC92" s="133"/>
      <c r="BD92" s="174"/>
      <c r="BE92" s="174"/>
      <c r="BF92" s="133"/>
      <c r="BG92" s="133"/>
      <c r="BH92" s="133"/>
      <c r="BI92" s="13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</row>
    <row r="93" spans="6:88" ht="15" hidden="1">
      <c r="F93" s="280" t="s">
        <v>165</v>
      </c>
      <c r="G93" s="280"/>
      <c r="H93" s="40">
        <f>ROUND(0.005*IF(H87&gt;30,30,H87)*(H88+H89),0)</f>
        <v>103</v>
      </c>
      <c r="I93" s="40">
        <f>ROUND(0.005*IF(I87&gt;30,30,I87)*(I88+I89),0)</f>
        <v>106</v>
      </c>
      <c r="J93" s="40">
        <f>ROUND(0.005*IF(J87&gt;30,30,J87)*(J88+J89),0)</f>
        <v>141</v>
      </c>
      <c r="K93" s="40">
        <f>ROUND(0.005*IF(K87&gt;30,30,K87)*(K88+K89),0)</f>
        <v>145</v>
      </c>
      <c r="L93" s="40">
        <f aca="true" t="shared" si="66" ref="L93:Q93">ROUND(0.005*IF(L87&gt;30,30,L87)*(L88+L89),0)</f>
        <v>181</v>
      </c>
      <c r="M93" s="40">
        <f t="shared" si="66"/>
        <v>185</v>
      </c>
      <c r="N93" s="40">
        <f t="shared" si="66"/>
        <v>222</v>
      </c>
      <c r="O93" s="40">
        <f t="shared" si="66"/>
        <v>228</v>
      </c>
      <c r="P93" s="40">
        <f t="shared" si="66"/>
        <v>266</v>
      </c>
      <c r="Q93" s="40">
        <f t="shared" si="66"/>
        <v>181</v>
      </c>
      <c r="R93" s="40"/>
      <c r="S93" s="40"/>
      <c r="T93" s="40"/>
      <c r="U93" s="40"/>
      <c r="V93" s="40"/>
      <c r="W93" s="29"/>
      <c r="X93" s="40">
        <f>ROUND(0.005*IF(X87&gt;30,30,X87)*X88,0)</f>
        <v>190</v>
      </c>
      <c r="Y93" s="40">
        <f>ROUND(0.005*IF(Y87&gt;30,30,Y87)*Y88,0)</f>
        <v>195</v>
      </c>
      <c r="Z93" s="40"/>
      <c r="AA93" s="40"/>
      <c r="AB93" s="40"/>
      <c r="AC93" s="40"/>
      <c r="AE93" s="40"/>
      <c r="AF93" s="49">
        <f>IF(AF92="XXX",IF(AF90&gt;=5890,160,IF(AF90&gt;=5440,150,IF(AF90&gt;=4880,140,130))),AF92)</f>
        <v>180</v>
      </c>
      <c r="AG93" s="49">
        <f>IF(AG92="XXX",IF(AG90&gt;=5890,160,IF(AG90&gt;=5440,150,IF(AG90&gt;=4880,140,130))),AG92)</f>
        <v>190</v>
      </c>
      <c r="AH93" s="49"/>
      <c r="AI93" s="49"/>
      <c r="AJ93" s="49"/>
      <c r="AK93" s="29"/>
      <c r="AL93" s="134"/>
      <c r="AM93" s="196"/>
      <c r="AN93" s="196"/>
      <c r="AO93" s="33"/>
      <c r="AP93" s="173"/>
      <c r="AQ93" s="173"/>
      <c r="AR93" s="173"/>
      <c r="AS93" s="173"/>
      <c r="AT93" s="173"/>
      <c r="AU93" s="173"/>
      <c r="AV93" s="173"/>
      <c r="AW93" s="133"/>
      <c r="AX93" s="133"/>
      <c r="AY93" s="133"/>
      <c r="AZ93" s="127"/>
      <c r="BA93" s="127"/>
      <c r="BB93" s="133"/>
      <c r="BC93" s="133"/>
      <c r="BD93" s="174"/>
      <c r="BE93" s="174"/>
      <c r="BF93" s="133"/>
      <c r="BG93" s="133"/>
      <c r="BH93" s="133"/>
      <c r="BI93" s="13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</row>
    <row r="94" spans="7:88" ht="15.75" hidden="1">
      <c r="G94" s="34"/>
      <c r="H94" s="41">
        <f aca="true" t="shared" si="67" ref="H94:Q94">IF(H115&gt;H95,H95,H115-1)</f>
        <v>12370</v>
      </c>
      <c r="I94" s="41">
        <f t="shared" si="67"/>
        <v>12668</v>
      </c>
      <c r="J94" s="41">
        <f t="shared" si="67"/>
        <v>12703</v>
      </c>
      <c r="K94" s="41">
        <f t="shared" si="67"/>
        <v>13002</v>
      </c>
      <c r="L94" s="41">
        <f t="shared" si="67"/>
        <v>13038</v>
      </c>
      <c r="M94" s="41">
        <f t="shared" si="67"/>
        <v>13337</v>
      </c>
      <c r="N94" s="41">
        <f t="shared" si="67"/>
        <v>13374</v>
      </c>
      <c r="O94" s="41">
        <f t="shared" si="67"/>
        <v>13692</v>
      </c>
      <c r="P94" s="41">
        <f t="shared" si="67"/>
        <v>13730</v>
      </c>
      <c r="Q94" s="41">
        <f t="shared" si="67"/>
        <v>13038</v>
      </c>
      <c r="R94" s="41"/>
      <c r="S94" s="41"/>
      <c r="T94" s="41"/>
      <c r="U94" s="41"/>
      <c r="V94" s="41"/>
      <c r="W94" s="29"/>
      <c r="X94" s="41">
        <f>IF(X115&gt;X95,X95,X115-1)</f>
        <v>13654</v>
      </c>
      <c r="Y94" s="41">
        <f>IF(Y115&gt;Y95,Y95,Y115-1)</f>
        <v>13971</v>
      </c>
      <c r="Z94" s="41"/>
      <c r="AA94" s="41"/>
      <c r="AB94" s="41"/>
      <c r="AC94" s="41"/>
      <c r="AD94" s="108" t="s">
        <v>217</v>
      </c>
      <c r="AE94" s="41"/>
      <c r="AF94" s="110">
        <f>IF(AE87=1," ",AF93)</f>
        <v>180</v>
      </c>
      <c r="AG94" s="110">
        <f>IF(AE87=1," ",AG93)</f>
        <v>190</v>
      </c>
      <c r="AH94" s="110"/>
      <c r="AI94" s="41"/>
      <c r="AJ94" s="41"/>
      <c r="AK94" s="29"/>
      <c r="AL94" s="134"/>
      <c r="AM94" s="197"/>
      <c r="AN94" s="196"/>
      <c r="AO94" s="33"/>
      <c r="AP94" s="173"/>
      <c r="AQ94" s="173"/>
      <c r="AR94" s="173"/>
      <c r="AS94" s="173"/>
      <c r="AT94" s="173"/>
      <c r="AU94" s="173"/>
      <c r="AV94" s="173"/>
      <c r="AW94" s="133"/>
      <c r="AX94" s="133"/>
      <c r="AY94" s="133"/>
      <c r="AZ94" s="127"/>
      <c r="BA94" s="127"/>
      <c r="BB94" s="133"/>
      <c r="BC94" s="133"/>
      <c r="BD94" s="133"/>
      <c r="BE94" s="133"/>
      <c r="BF94" s="133"/>
      <c r="BG94" s="133"/>
      <c r="BH94" s="133"/>
      <c r="BI94" s="13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</row>
    <row r="95" spans="6:88" ht="15" hidden="1">
      <c r="F95" s="280" t="s">
        <v>36</v>
      </c>
      <c r="G95" s="280"/>
      <c r="H95" s="41">
        <f aca="true" t="shared" si="68" ref="H95:N95">SUM(H88:H93)</f>
        <v>12370</v>
      </c>
      <c r="I95" s="41">
        <f t="shared" si="68"/>
        <v>12668</v>
      </c>
      <c r="J95" s="41">
        <f t="shared" si="68"/>
        <v>12703</v>
      </c>
      <c r="K95" s="41">
        <f t="shared" si="68"/>
        <v>13002</v>
      </c>
      <c r="L95" s="41">
        <f t="shared" si="68"/>
        <v>13038</v>
      </c>
      <c r="M95" s="41">
        <f t="shared" si="68"/>
        <v>13337</v>
      </c>
      <c r="N95" s="41">
        <f t="shared" si="68"/>
        <v>13374</v>
      </c>
      <c r="O95" s="41">
        <f>SUM(O88:O93)</f>
        <v>13692</v>
      </c>
      <c r="P95" s="41">
        <f>SUM(P88:P93)</f>
        <v>13730</v>
      </c>
      <c r="Q95" s="41">
        <f>SUM(Q88:Q93)</f>
        <v>13038</v>
      </c>
      <c r="R95" s="41"/>
      <c r="S95" s="41"/>
      <c r="T95" s="41"/>
      <c r="U95" s="41"/>
      <c r="V95" s="41"/>
      <c r="W95" s="29"/>
      <c r="X95" s="41">
        <f>SUM(X88:X93)</f>
        <v>13654</v>
      </c>
      <c r="Y95" s="41">
        <f>SUM(Y88:Y93)</f>
        <v>13971</v>
      </c>
      <c r="Z95" s="41"/>
      <c r="AA95" s="41"/>
      <c r="AB95" s="41"/>
      <c r="AC95" s="41"/>
      <c r="AD95" s="109" t="s">
        <v>36</v>
      </c>
      <c r="AE95" s="41"/>
      <c r="AF95" s="109">
        <f>IF(AF94=" ",AF88,AF88+AF94)</f>
        <v>7410</v>
      </c>
      <c r="AG95" s="109">
        <f>IF(AG94=" ",AG88,AG88+AG94)</f>
        <v>7600</v>
      </c>
      <c r="AH95" s="109"/>
      <c r="AI95" s="41"/>
      <c r="AJ95" s="41"/>
      <c r="AK95" s="29"/>
      <c r="AL95" s="134"/>
      <c r="AM95" s="197"/>
      <c r="AN95" s="197"/>
      <c r="AO95" s="33"/>
      <c r="AP95" s="173"/>
      <c r="AQ95" s="173"/>
      <c r="AR95" s="173"/>
      <c r="AS95" s="173"/>
      <c r="AT95" s="173"/>
      <c r="AU95" s="173"/>
      <c r="AV95" s="173"/>
      <c r="AW95" s="133"/>
      <c r="AX95" s="133"/>
      <c r="AY95" s="133"/>
      <c r="AZ95" s="127"/>
      <c r="BA95" s="127"/>
      <c r="BB95" s="133"/>
      <c r="BC95" s="133"/>
      <c r="BD95" s="186"/>
      <c r="BE95" s="186"/>
      <c r="BF95" s="133"/>
      <c r="BG95" s="133"/>
      <c r="BH95" s="133"/>
      <c r="BI95" s="13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</row>
    <row r="96" spans="6:88" ht="15" customHeight="1" hidden="1">
      <c r="F96" s="280" t="s">
        <v>158</v>
      </c>
      <c r="G96" s="280"/>
      <c r="H96" s="39">
        <f aca="true" t="shared" si="69" ref="H96:Q96">IF(H95&gt;H115,CONCATENATE(H115," + P.P. ",H95-H115),H97)</f>
        <v>12540</v>
      </c>
      <c r="I96" s="39">
        <f t="shared" si="69"/>
        <v>12870</v>
      </c>
      <c r="J96" s="39">
        <f t="shared" si="69"/>
        <v>12870</v>
      </c>
      <c r="K96" s="39">
        <f t="shared" si="69"/>
        <v>13200</v>
      </c>
      <c r="L96" s="39">
        <f t="shared" si="69"/>
        <v>13200</v>
      </c>
      <c r="M96" s="39">
        <f t="shared" si="69"/>
        <v>13560</v>
      </c>
      <c r="N96" s="39">
        <f t="shared" si="69"/>
        <v>13560</v>
      </c>
      <c r="O96" s="39">
        <f t="shared" si="69"/>
        <v>13920</v>
      </c>
      <c r="P96" s="39">
        <f t="shared" si="69"/>
        <v>13920</v>
      </c>
      <c r="Q96" s="39">
        <f t="shared" si="69"/>
        <v>13200</v>
      </c>
      <c r="R96" s="39"/>
      <c r="S96" s="39"/>
      <c r="T96" s="39"/>
      <c r="U96" s="39"/>
      <c r="V96" s="39"/>
      <c r="W96" s="29"/>
      <c r="X96" s="39">
        <f>IF(X95&gt;X115,CONCATENATE(X115," + P.P. ",X95-X115),X97)</f>
        <v>13920</v>
      </c>
      <c r="Y96" s="39">
        <f>IF(Y95&gt;Y115,CONCATENATE(Y115," + P.P. ",Y95-Y115),Y97)</f>
        <v>14280</v>
      </c>
      <c r="Z96" s="39"/>
      <c r="AA96" s="39"/>
      <c r="AB96" s="39"/>
      <c r="AC96" s="39"/>
      <c r="AD96" s="39" t="s">
        <v>218</v>
      </c>
      <c r="AE96" s="39"/>
      <c r="AF96" s="40">
        <f>VALUE(LEFT(H9,(FIND("-",H9))-1))</f>
        <v>6690</v>
      </c>
      <c r="AG96" s="41">
        <f>VALUE(LEFT(H9,(FIND("-",H9))-1))</f>
        <v>6690</v>
      </c>
      <c r="AH96" s="41"/>
      <c r="AI96" s="41"/>
      <c r="AJ96" s="41"/>
      <c r="AK96" s="29"/>
      <c r="AL96" s="134"/>
      <c r="AM96" s="195"/>
      <c r="AN96" s="195"/>
      <c r="AO96" s="33"/>
      <c r="AP96" s="173"/>
      <c r="AQ96" s="173"/>
      <c r="AR96" s="173"/>
      <c r="AS96" s="173"/>
      <c r="AT96" s="173"/>
      <c r="AU96" s="173"/>
      <c r="AV96" s="173"/>
      <c r="AW96" s="133"/>
      <c r="AX96" s="133"/>
      <c r="AY96" s="133"/>
      <c r="AZ96" s="127"/>
      <c r="BA96" s="127"/>
      <c r="BB96" s="133"/>
      <c r="BC96" s="133"/>
      <c r="BD96" s="186"/>
      <c r="BE96" s="186"/>
      <c r="BF96" s="133"/>
      <c r="BG96" s="133"/>
      <c r="BH96" s="133"/>
      <c r="BI96" s="13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</row>
    <row r="97" spans="6:88" ht="15" customHeight="1" hidden="1">
      <c r="F97" s="280" t="s">
        <v>159</v>
      </c>
      <c r="G97" s="280"/>
      <c r="H97" s="39">
        <f aca="true" t="shared" si="70" ref="H97:Q97">IF(H95&lt;H109,H109,IF(H95&gt;H115,H95,H98))</f>
        <v>12540</v>
      </c>
      <c r="I97" s="39">
        <f t="shared" si="70"/>
        <v>12870</v>
      </c>
      <c r="J97" s="39">
        <f t="shared" si="70"/>
        <v>12870</v>
      </c>
      <c r="K97" s="39">
        <f t="shared" si="70"/>
        <v>13200</v>
      </c>
      <c r="L97" s="39">
        <f t="shared" si="70"/>
        <v>13200</v>
      </c>
      <c r="M97" s="39">
        <f t="shared" si="70"/>
        <v>13560</v>
      </c>
      <c r="N97" s="39">
        <f t="shared" si="70"/>
        <v>13560</v>
      </c>
      <c r="O97" s="39">
        <f t="shared" si="70"/>
        <v>13920</v>
      </c>
      <c r="P97" s="39">
        <f t="shared" si="70"/>
        <v>13920</v>
      </c>
      <c r="Q97" s="39">
        <f t="shared" si="70"/>
        <v>13200</v>
      </c>
      <c r="R97" s="39"/>
      <c r="S97" s="39"/>
      <c r="T97" s="39"/>
      <c r="U97" s="39"/>
      <c r="V97" s="39"/>
      <c r="W97" s="29"/>
      <c r="X97" s="39">
        <f>IF(X95&lt;X109,X109,IF(X95&gt;X115,X95,X98))</f>
        <v>13920</v>
      </c>
      <c r="Y97" s="39">
        <f>IF(Y95&lt;Y109,Y109,IF(Y95&gt;Y115,Y95,Y98))</f>
        <v>14280</v>
      </c>
      <c r="Z97" s="39"/>
      <c r="AA97" s="39"/>
      <c r="AB97" s="39"/>
      <c r="AC97" s="39"/>
      <c r="AD97" s="39" t="s">
        <v>219</v>
      </c>
      <c r="AE97" s="39"/>
      <c r="AF97" s="40">
        <f>VALUE(RIGHT(RIGHT(H9,8),LEN(RIGHT(H9,8))-FIND("-",RIGHT(H9,8),1)))</f>
        <v>11070</v>
      </c>
      <c r="AG97" s="41">
        <f>VALUE(RIGHT(RIGHT(H9,8),LEN(RIGHT(H9,8))-FIND("-",RIGHT(H9,8),1)))</f>
        <v>11070</v>
      </c>
      <c r="AH97" s="41"/>
      <c r="AI97" s="41"/>
      <c r="AJ97" s="41"/>
      <c r="AK97" s="29"/>
      <c r="AL97" s="134"/>
      <c r="AM97" s="33"/>
      <c r="AN97" s="195"/>
      <c r="AO97" s="33"/>
      <c r="AP97" s="173"/>
      <c r="AQ97" s="173"/>
      <c r="AR97" s="173"/>
      <c r="AS97" s="173"/>
      <c r="AT97" s="173"/>
      <c r="AU97" s="173"/>
      <c r="AV97" s="173"/>
      <c r="AW97" s="133"/>
      <c r="AX97" s="133"/>
      <c r="AY97" s="133"/>
      <c r="AZ97" s="127"/>
      <c r="BA97" s="127"/>
      <c r="BB97" s="133"/>
      <c r="BC97" s="133"/>
      <c r="BD97" s="187"/>
      <c r="BE97" s="187"/>
      <c r="BF97" s="133"/>
      <c r="BG97" s="133"/>
      <c r="BH97" s="133"/>
      <c r="BI97" s="13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</row>
    <row r="98" spans="6:88" ht="15" customHeight="1" hidden="1">
      <c r="F98" s="280" t="s">
        <v>160</v>
      </c>
      <c r="G98" s="280"/>
      <c r="H98" s="31">
        <f aca="true" t="shared" si="71" ref="H98:N98">IF(H101+H108&gt;H109,H101+H108,H109)</f>
        <v>12540</v>
      </c>
      <c r="I98" s="31">
        <f t="shared" si="71"/>
        <v>12870</v>
      </c>
      <c r="J98" s="31">
        <f t="shared" si="71"/>
        <v>12870</v>
      </c>
      <c r="K98" s="31">
        <f t="shared" si="71"/>
        <v>13200</v>
      </c>
      <c r="L98" s="31">
        <f t="shared" si="71"/>
        <v>13200</v>
      </c>
      <c r="M98" s="31">
        <f t="shared" si="71"/>
        <v>13560</v>
      </c>
      <c r="N98" s="31">
        <f t="shared" si="71"/>
        <v>13560</v>
      </c>
      <c r="O98" s="31">
        <f>IF(O101+O108&gt;O109,O101+O108,O109)</f>
        <v>13920</v>
      </c>
      <c r="P98" s="31">
        <f>IF(P101+P108&gt;P109,P101+P108,P109)</f>
        <v>13920</v>
      </c>
      <c r="Q98" s="31">
        <f>IF(Q101+Q108&gt;Q109,Q101+Q108,Q109)</f>
        <v>13200</v>
      </c>
      <c r="R98" s="31"/>
      <c r="S98" s="31"/>
      <c r="T98" s="31"/>
      <c r="U98" s="31"/>
      <c r="V98" s="31"/>
      <c r="W98" s="29"/>
      <c r="X98" s="31">
        <f>IF(X101+X108&gt;X109,X101+X108,X109)</f>
        <v>13920</v>
      </c>
      <c r="Y98" s="31">
        <f>IF(Y101+Y108&gt;Y109,Y101+Y108,Y109)</f>
        <v>14280</v>
      </c>
      <c r="Z98" s="31"/>
      <c r="AA98" s="31"/>
      <c r="AB98" s="31"/>
      <c r="AC98" s="31"/>
      <c r="AD98" s="31"/>
      <c r="AE98" s="31"/>
      <c r="AF98" s="31">
        <f>IF(AF95&lt;AF96,AF96,IF(AF95&gt;AF97,AF97-1,AF95))</f>
        <v>7410</v>
      </c>
      <c r="AG98" s="31">
        <f>IF(AG95&lt;AG96,AG96,IF(AG95&gt;AG97,AG97-1,AG95))</f>
        <v>7600</v>
      </c>
      <c r="AH98" s="31"/>
      <c r="AI98" s="31"/>
      <c r="AJ98" s="31"/>
      <c r="AK98" s="29"/>
      <c r="AL98" s="134"/>
      <c r="AM98" s="134"/>
      <c r="AN98" s="134"/>
      <c r="AO98" s="33"/>
      <c r="AP98" s="173"/>
      <c r="AQ98" s="173"/>
      <c r="AR98" s="173"/>
      <c r="AS98" s="173"/>
      <c r="AT98" s="173"/>
      <c r="AU98" s="173"/>
      <c r="AV98" s="173"/>
      <c r="AW98" s="133"/>
      <c r="AX98" s="133"/>
      <c r="AY98" s="133"/>
      <c r="AZ98" s="127"/>
      <c r="BA98" s="127"/>
      <c r="BB98" s="133"/>
      <c r="BC98" s="133"/>
      <c r="BD98" s="186"/>
      <c r="BE98" s="186"/>
      <c r="BF98" s="133"/>
      <c r="BG98" s="133"/>
      <c r="BH98" s="133"/>
      <c r="BI98" s="13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</row>
    <row r="99" spans="7:88" ht="15" hidden="1">
      <c r="G99" s="42"/>
      <c r="H99" s="43" t="str">
        <f aca="true" t="shared" si="72" ref="H99:Q99">IF(H94&gt;=59250,59250,IF(H94&gt;=54050,54050,IF(H94&gt;=49250,49250,IF(H94&gt;=43750,43750,IF(H94&gt;=39750,39750,IF(H94&gt;=36110,36110,IF(H94&gt;=32750,32750,"X")))))))</f>
        <v>X</v>
      </c>
      <c r="I99" s="43" t="str">
        <f t="shared" si="72"/>
        <v>X</v>
      </c>
      <c r="J99" s="43" t="str">
        <f t="shared" si="72"/>
        <v>X</v>
      </c>
      <c r="K99" s="43" t="str">
        <f t="shared" si="72"/>
        <v>X</v>
      </c>
      <c r="L99" s="43" t="str">
        <f t="shared" si="72"/>
        <v>X</v>
      </c>
      <c r="M99" s="43" t="str">
        <f t="shared" si="72"/>
        <v>X</v>
      </c>
      <c r="N99" s="43" t="str">
        <f t="shared" si="72"/>
        <v>X</v>
      </c>
      <c r="O99" s="43" t="str">
        <f t="shared" si="72"/>
        <v>X</v>
      </c>
      <c r="P99" s="43" t="str">
        <f t="shared" si="72"/>
        <v>X</v>
      </c>
      <c r="Q99" s="43" t="str">
        <f t="shared" si="72"/>
        <v>X</v>
      </c>
      <c r="R99" s="43"/>
      <c r="S99" s="43"/>
      <c r="T99" s="43"/>
      <c r="U99" s="43"/>
      <c r="V99" s="43"/>
      <c r="W99" s="29"/>
      <c r="X99" s="43" t="str">
        <f>IF(X94&gt;=59250,59250,IF(X94&gt;=54050,54050,IF(X94&gt;=49250,49250,IF(X94&gt;=43750,43750,IF(X94&gt;=39750,39750,IF(X94&gt;=36110,36110,IF(X94&gt;=32750,32750,"X")))))))</f>
        <v>X</v>
      </c>
      <c r="Y99" s="43" t="str">
        <f>IF(Y94&gt;=59250,59250,IF(Y94&gt;=54050,54050,IF(Y94&gt;=49250,49250,IF(Y94&gt;=43750,43750,IF(Y94&gt;=39750,39750,IF(Y94&gt;=36110,36110,IF(Y94&gt;=32750,32750,"X")))))))</f>
        <v>X</v>
      </c>
      <c r="Z99" s="43"/>
      <c r="AA99" s="43"/>
      <c r="AB99" s="43"/>
      <c r="AC99" s="43"/>
      <c r="AD99" s="43"/>
      <c r="AE99" s="43"/>
      <c r="AF99" s="48" t="str">
        <f>IF(AF98&gt;=31980,700,IF(AF98&gt;=26780,650,IF(AF98&gt;=26180,600,IF(AF98&gt;=20680,550,IF(AF98&gt;=16180,500,IF(AF98&gt;=12580,450,IF(AF98&gt;=11410,390,IF(AF98&gt;=10730,340,"xxx"))))))))</f>
        <v>xxx</v>
      </c>
      <c r="AG99" s="48" t="str">
        <f>IF(AG98&gt;=31980,700,IF(AG98&gt;=26780,650,IF(AG98&gt;=26180,600,IF(AG98&gt;=20680,550,IF(AG98&gt;=16180,500,IF(AG98&gt;=12580,450,IF(AG98&gt;=11410,390,IF(AG98&gt;=10730,340,"xxx"))))))))</f>
        <v>xxx</v>
      </c>
      <c r="AH99" s="48"/>
      <c r="AI99" s="43"/>
      <c r="AJ99" s="43"/>
      <c r="AK99" s="29"/>
      <c r="AL99" s="134"/>
      <c r="AM99" s="134"/>
      <c r="AN99" s="134"/>
      <c r="AO99" s="33"/>
      <c r="AP99" s="173"/>
      <c r="AQ99" s="173"/>
      <c r="AR99" s="173"/>
      <c r="AS99" s="173"/>
      <c r="AT99" s="173"/>
      <c r="AU99" s="173"/>
      <c r="AV99" s="173"/>
      <c r="AW99" s="133"/>
      <c r="AX99" s="133"/>
      <c r="AY99" s="133"/>
      <c r="AZ99" s="127"/>
      <c r="BA99" s="127"/>
      <c r="BB99" s="133"/>
      <c r="BC99" s="133"/>
      <c r="BD99" s="186"/>
      <c r="BE99" s="186"/>
      <c r="BF99" s="133"/>
      <c r="BG99" s="133"/>
      <c r="BH99" s="133"/>
      <c r="BI99" s="13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</row>
    <row r="100" spans="7:88" ht="15" hidden="1">
      <c r="G100" s="42"/>
      <c r="H100" s="43" t="str">
        <f aca="true" t="shared" si="73" ref="H100:Q100">IF(H99="x",IF(H94&gt;=29670,29670,IF(H94&gt;=268700,26870,IF(H94&gt;=23720,23720,IF(H94&gt;=21440,21440,IF(H94&gt;=18440,18440,IF(H94&gt;=16640,16640,IF(H94&gt;=14640,14640,"x"))))))),H99)</f>
        <v>x</v>
      </c>
      <c r="I100" s="43" t="str">
        <f t="shared" si="73"/>
        <v>x</v>
      </c>
      <c r="J100" s="43" t="str">
        <f t="shared" si="73"/>
        <v>x</v>
      </c>
      <c r="K100" s="43" t="str">
        <f t="shared" si="73"/>
        <v>x</v>
      </c>
      <c r="L100" s="43" t="str">
        <f t="shared" si="73"/>
        <v>x</v>
      </c>
      <c r="M100" s="43" t="str">
        <f t="shared" si="73"/>
        <v>x</v>
      </c>
      <c r="N100" s="43" t="str">
        <f t="shared" si="73"/>
        <v>x</v>
      </c>
      <c r="O100" s="43" t="str">
        <f t="shared" si="73"/>
        <v>x</v>
      </c>
      <c r="P100" s="43" t="str">
        <f t="shared" si="73"/>
        <v>x</v>
      </c>
      <c r="Q100" s="43" t="str">
        <f t="shared" si="73"/>
        <v>x</v>
      </c>
      <c r="R100" s="43"/>
      <c r="S100" s="43"/>
      <c r="T100" s="43"/>
      <c r="U100" s="43"/>
      <c r="V100" s="43"/>
      <c r="W100" s="29"/>
      <c r="X100" s="43" t="str">
        <f>IF(X99="x",IF(X94&gt;=29670,29670,IF(X94&gt;=268700,26870,IF(X94&gt;=23720,23720,IF(X94&gt;=21440,21440,IF(X94&gt;=18440,18440,IF(X94&gt;=16640,16640,IF(X94&gt;=14640,14640,"x"))))))),X99)</f>
        <v>x</v>
      </c>
      <c r="Y100" s="43" t="str">
        <f>IF(Y99="x",IF(Y94&gt;=29670,29670,IF(Y94&gt;=268700,26870,IF(Y94&gt;=23720,23720,IF(Y94&gt;=21440,21440,IF(Y94&gt;=18440,18440,IF(Y94&gt;=16640,16640,IF(Y94&gt;=14640,14640,"x"))))))),Y99)</f>
        <v>x</v>
      </c>
      <c r="Z100" s="43"/>
      <c r="AA100" s="43"/>
      <c r="AB100" s="43"/>
      <c r="AC100" s="43"/>
      <c r="AD100" s="43"/>
      <c r="AE100" s="43"/>
      <c r="AF100" s="48">
        <f>IF(AF99="xxx",IF(AF98&gt;=9860,290,IF(AF98&gt;=8610,250,IF(AF98&gt;=8170,220,IF(AF98&gt;=7410,190,IF(AF98&gt;=6690,180,"XXX"))))),AF99)</f>
        <v>190</v>
      </c>
      <c r="AG100" s="48">
        <f>IF(AG99="xxx",IF(AG98&gt;=9860,290,IF(AG98&gt;=8610,250,IF(AG98&gt;=8170,220,IF(AG98&gt;=7410,190,IF(AG98&gt;=6690,180,"XXX"))))),AG99)</f>
        <v>190</v>
      </c>
      <c r="AH100" s="48"/>
      <c r="AI100" s="43"/>
      <c r="AJ100" s="43"/>
      <c r="AK100" s="29"/>
      <c r="AL100" s="134"/>
      <c r="AM100" s="134"/>
      <c r="AN100" s="134"/>
      <c r="AO100" s="33"/>
      <c r="AP100" s="173"/>
      <c r="AQ100" s="173"/>
      <c r="AR100" s="173"/>
      <c r="AS100" s="173"/>
      <c r="AT100" s="173"/>
      <c r="AU100" s="173"/>
      <c r="AV100" s="173"/>
      <c r="AW100" s="133"/>
      <c r="AX100" s="133"/>
      <c r="AY100" s="133"/>
      <c r="AZ100" s="127"/>
      <c r="BA100" s="127"/>
      <c r="BB100" s="133"/>
      <c r="BC100" s="133"/>
      <c r="BD100" s="187"/>
      <c r="BE100" s="187"/>
      <c r="BF100" s="133"/>
      <c r="BG100" s="133"/>
      <c r="BH100" s="133"/>
      <c r="BI100" s="13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</row>
    <row r="101" spans="7:88" ht="15.75" hidden="1">
      <c r="G101" s="42"/>
      <c r="H101" s="44">
        <f aca="true" t="shared" si="74" ref="H101:Q101">IF(H100="x",IF(H94&gt;=13200,13200,IF(H94&gt;=12210,12210,IF(H94&gt;=11010,11010,IF(H94&gt;=9930,9930,IF(H94&gt;=9430,9430,8950))))),H100)</f>
        <v>12210</v>
      </c>
      <c r="I101" s="44">
        <f t="shared" si="74"/>
        <v>12210</v>
      </c>
      <c r="J101" s="44">
        <f t="shared" si="74"/>
        <v>12210</v>
      </c>
      <c r="K101" s="44">
        <f t="shared" si="74"/>
        <v>12210</v>
      </c>
      <c r="L101" s="44">
        <f t="shared" si="74"/>
        <v>12210</v>
      </c>
      <c r="M101" s="44">
        <f t="shared" si="74"/>
        <v>13200</v>
      </c>
      <c r="N101" s="44">
        <f t="shared" si="74"/>
        <v>13200</v>
      </c>
      <c r="O101" s="44">
        <f t="shared" si="74"/>
        <v>13200</v>
      </c>
      <c r="P101" s="44">
        <f t="shared" si="74"/>
        <v>13200</v>
      </c>
      <c r="Q101" s="44">
        <f t="shared" si="74"/>
        <v>12210</v>
      </c>
      <c r="R101" s="44"/>
      <c r="S101" s="44"/>
      <c r="T101" s="44"/>
      <c r="U101" s="44"/>
      <c r="V101" s="44"/>
      <c r="W101" s="29"/>
      <c r="X101" s="44">
        <f>IF(X100="x",IF(X94&gt;=13200,13200,IF(X94&gt;=12210,12210,IF(X94&gt;=11010,11010,IF(X94&gt;=9930,9930,IF(X94&gt;=9430,9430,8950))))),#REF!)</f>
        <v>13200</v>
      </c>
      <c r="Y101" s="44">
        <f>IF(Y100="x",IF(Y94&gt;=13200,13200,IF(Y94&gt;=12210,12210,IF(Y94&gt;=11010,11010,IF(Y94&gt;=9930,9930,IF(Y94&gt;=9430,9430,8950))))),#REF!)</f>
        <v>13200</v>
      </c>
      <c r="Z101" s="44"/>
      <c r="AA101" s="44"/>
      <c r="AB101" s="44"/>
      <c r="AC101" s="44"/>
      <c r="AD101" s="44"/>
      <c r="AE101" s="44"/>
      <c r="AF101" s="112">
        <f>IF(AF100="XXX",IF(AF98&gt;=5890,160,IF(AF98&gt;=5440,150,IF(AF98&gt;=4880,140,130))),AF100)</f>
        <v>190</v>
      </c>
      <c r="AG101" s="112">
        <f>IF(AG100="XXX",IF(AG98&gt;=5890,160,IF(AG98&gt;=5440,150,IF(AG98&gt;=4880,140,130))),AG100)</f>
        <v>190</v>
      </c>
      <c r="AH101" s="112"/>
      <c r="AI101" s="44"/>
      <c r="AJ101" s="44"/>
      <c r="AK101" s="29"/>
      <c r="AL101" s="134"/>
      <c r="AM101" s="134"/>
      <c r="AN101" s="134"/>
      <c r="AO101" s="33"/>
      <c r="AP101" s="173"/>
      <c r="AQ101" s="173"/>
      <c r="AR101" s="173"/>
      <c r="AS101" s="173"/>
      <c r="AT101" s="173"/>
      <c r="AU101" s="173"/>
      <c r="AV101" s="173"/>
      <c r="AW101" s="133"/>
      <c r="AX101" s="133"/>
      <c r="AY101" s="133"/>
      <c r="AZ101" s="127"/>
      <c r="BA101" s="127"/>
      <c r="BB101" s="133"/>
      <c r="BC101" s="133"/>
      <c r="BD101" s="188"/>
      <c r="BE101" s="188"/>
      <c r="BF101" s="133"/>
      <c r="BG101" s="133"/>
      <c r="BH101" s="133"/>
      <c r="BI101" s="13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</row>
    <row r="102" spans="6:61" ht="15" customHeight="1" hidden="1">
      <c r="F102" s="280" t="s">
        <v>166</v>
      </c>
      <c r="G102" s="280"/>
      <c r="H102" s="43" t="str">
        <f aca="true" t="shared" si="75" ref="H102:Q102">IF(H94&gt;=59250,1400,IF(H94&gt;=54050,1300,IF(H94&gt;=49250,1200,IF(H94&gt;=43750,1100,IF(H94&gt;=39750,1000,IF(H94&gt;=36110,910,IF(H94&gt;=32750,840,"X")))))))</f>
        <v>X</v>
      </c>
      <c r="I102" s="43" t="str">
        <f t="shared" si="75"/>
        <v>X</v>
      </c>
      <c r="J102" s="43" t="str">
        <f t="shared" si="75"/>
        <v>X</v>
      </c>
      <c r="K102" s="43" t="str">
        <f t="shared" si="75"/>
        <v>X</v>
      </c>
      <c r="L102" s="43" t="str">
        <f t="shared" si="75"/>
        <v>X</v>
      </c>
      <c r="M102" s="43" t="str">
        <f t="shared" si="75"/>
        <v>X</v>
      </c>
      <c r="N102" s="43" t="str">
        <f t="shared" si="75"/>
        <v>X</v>
      </c>
      <c r="O102" s="43" t="str">
        <f t="shared" si="75"/>
        <v>X</v>
      </c>
      <c r="P102" s="43" t="str">
        <f t="shared" si="75"/>
        <v>X</v>
      </c>
      <c r="Q102" s="43" t="str">
        <f t="shared" si="75"/>
        <v>X</v>
      </c>
      <c r="R102" s="43"/>
      <c r="S102" s="43"/>
      <c r="T102" s="43"/>
      <c r="U102" s="43"/>
      <c r="V102" s="43"/>
      <c r="X102" s="43" t="str">
        <f>IF(X94&gt;=59250,1400,IF(X94&gt;=54050,1300,IF(X94&gt;=49250,1200,IF(X94&gt;=43750,1100,IF(X94&gt;=39750,1000,IF(X94&gt;=36110,910,IF(X94&gt;=32750,840,"X")))))))</f>
        <v>X</v>
      </c>
      <c r="Y102" s="43" t="str">
        <f>IF(Y94&gt;=59250,1400,IF(Y94&gt;=54050,1300,IF(Y94&gt;=49250,1200,IF(Y94&gt;=43750,1100,IF(Y94&gt;=39750,1000,IF(Y94&gt;=36110,910,IF(Y94&gt;=32750,840,"X")))))))</f>
        <v>X</v>
      </c>
      <c r="Z102" s="43"/>
      <c r="AA102" s="43"/>
      <c r="AB102" s="43"/>
      <c r="AC102" s="43"/>
      <c r="AD102" s="43" t="s">
        <v>36</v>
      </c>
      <c r="AE102" s="43"/>
      <c r="AF102" s="111">
        <f>AF95+AF101</f>
        <v>7600</v>
      </c>
      <c r="AG102" s="111">
        <f>AG95+AG101</f>
        <v>7790</v>
      </c>
      <c r="AH102" s="111"/>
      <c r="AI102" s="111"/>
      <c r="AJ102" s="111"/>
      <c r="AL102" s="126"/>
      <c r="AM102" s="126"/>
      <c r="AN102" s="126"/>
      <c r="AO102" s="126"/>
      <c r="AP102" s="126"/>
      <c r="AQ102" s="126"/>
      <c r="AR102" s="126"/>
      <c r="AS102" s="126"/>
      <c r="AT102" s="127"/>
      <c r="AU102" s="127"/>
      <c r="AV102" s="127"/>
      <c r="AW102" s="127"/>
      <c r="AX102" s="127"/>
      <c r="AY102" s="127"/>
      <c r="AZ102" s="127"/>
      <c r="BA102" s="127"/>
      <c r="BB102" s="133"/>
      <c r="BC102" s="133"/>
      <c r="BD102" s="133"/>
      <c r="BE102" s="133"/>
      <c r="BF102" s="127"/>
      <c r="BG102" s="127"/>
      <c r="BH102" s="127"/>
      <c r="BI102" s="127"/>
    </row>
    <row r="103" spans="7:61" ht="15" hidden="1">
      <c r="G103" s="42"/>
      <c r="H103" s="43" t="str">
        <f aca="true" t="shared" si="76" ref="H103:Q103">IF(H102="x",IF(H94&gt;=29670,770,IF(H94&gt;=26870,700,IF(H94&gt;=23720,630,IF(H94&gt;=21440,570,IF(H94&gt;=18440,500,IF(H94&gt;=16640,450,IF(H94&gt;=14640,400,"x"))))))),H102)</f>
        <v>x</v>
      </c>
      <c r="I103" s="43" t="str">
        <f t="shared" si="76"/>
        <v>x</v>
      </c>
      <c r="J103" s="43" t="str">
        <f t="shared" si="76"/>
        <v>x</v>
      </c>
      <c r="K103" s="43" t="str">
        <f t="shared" si="76"/>
        <v>x</v>
      </c>
      <c r="L103" s="43" t="str">
        <f t="shared" si="76"/>
        <v>x</v>
      </c>
      <c r="M103" s="43" t="str">
        <f t="shared" si="76"/>
        <v>x</v>
      </c>
      <c r="N103" s="43" t="str">
        <f t="shared" si="76"/>
        <v>x</v>
      </c>
      <c r="O103" s="43" t="str">
        <f t="shared" si="76"/>
        <v>x</v>
      </c>
      <c r="P103" s="43" t="str">
        <f t="shared" si="76"/>
        <v>x</v>
      </c>
      <c r="Q103" s="43" t="str">
        <f t="shared" si="76"/>
        <v>x</v>
      </c>
      <c r="R103" s="43"/>
      <c r="S103" s="43"/>
      <c r="T103" s="43"/>
      <c r="U103" s="43"/>
      <c r="V103" s="43"/>
      <c r="X103" s="43" t="str">
        <f>IF(X102="x",IF(X94&gt;=29670,770,IF(X94&gt;=26870,700,IF(X94&gt;=23720,630,IF(X94&gt;=21440,570,IF(X94&gt;=18440,500,IF(X94&gt;=16640,450,IF(X94&gt;=14640,400,"x"))))))),X102)</f>
        <v>x</v>
      </c>
      <c r="Y103" s="43" t="str">
        <f>IF(Y102="x",IF(Y94&gt;=29670,770,IF(Y94&gt;=26870,700,IF(Y94&gt;=23720,630,IF(Y94&gt;=21440,570,IF(Y94&gt;=18440,500,IF(Y94&gt;=16640,450,IF(Y94&gt;=14640,400,"x"))))))),Y102)</f>
        <v>x</v>
      </c>
      <c r="Z103" s="43"/>
      <c r="AA103" s="43"/>
      <c r="AB103" s="43"/>
      <c r="AC103" s="43"/>
      <c r="AD103" s="43" t="s">
        <v>220</v>
      </c>
      <c r="AE103" s="43"/>
      <c r="AF103" s="113">
        <f>IF(AF102&lt;AF96,AF96,AF102)</f>
        <v>7600</v>
      </c>
      <c r="AG103" s="113">
        <f>IF(AG102&lt;AG96,AG96,AG102)</f>
        <v>7790</v>
      </c>
      <c r="AH103" s="113"/>
      <c r="AI103" s="43"/>
      <c r="AJ103" s="43"/>
      <c r="AS103" s="127"/>
      <c r="AT103" s="127"/>
      <c r="AU103" s="127"/>
      <c r="AV103" s="127"/>
      <c r="AW103" s="127"/>
      <c r="AX103" s="127"/>
      <c r="AY103" s="127"/>
      <c r="AZ103" s="127"/>
      <c r="BA103" s="127"/>
      <c r="BB103" s="133"/>
      <c r="BC103" s="133"/>
      <c r="BD103" s="186"/>
      <c r="BE103" s="186"/>
      <c r="BF103" s="127"/>
      <c r="BG103" s="127"/>
      <c r="BH103" s="127"/>
      <c r="BI103" s="127"/>
    </row>
    <row r="104" spans="7:61" ht="15.75" hidden="1">
      <c r="G104" s="42"/>
      <c r="H104" s="44">
        <f aca="true" t="shared" si="77" ref="H104:Q104">IF(H103="x",IF(H94&gt;=13200,360,IF(H94&gt;=12210,330,IF(H94&gt;=11010,300,IF(H94&gt;=9930,270,IF(H94&gt;=9430,250,240))))),H103)</f>
        <v>330</v>
      </c>
      <c r="I104" s="44">
        <f t="shared" si="77"/>
        <v>330</v>
      </c>
      <c r="J104" s="44">
        <f t="shared" si="77"/>
        <v>330</v>
      </c>
      <c r="K104" s="44">
        <f t="shared" si="77"/>
        <v>330</v>
      </c>
      <c r="L104" s="44">
        <f t="shared" si="77"/>
        <v>330</v>
      </c>
      <c r="M104" s="44">
        <f t="shared" si="77"/>
        <v>360</v>
      </c>
      <c r="N104" s="44">
        <f t="shared" si="77"/>
        <v>360</v>
      </c>
      <c r="O104" s="44">
        <f t="shared" si="77"/>
        <v>360</v>
      </c>
      <c r="P104" s="44">
        <f t="shared" si="77"/>
        <v>360</v>
      </c>
      <c r="Q104" s="44">
        <f t="shared" si="77"/>
        <v>330</v>
      </c>
      <c r="R104" s="44"/>
      <c r="S104" s="44"/>
      <c r="T104" s="44"/>
      <c r="U104" s="44"/>
      <c r="V104" s="44"/>
      <c r="X104" s="44">
        <f>IF(X103="x",IF(X94&gt;=13200,360,IF(X94&gt;=12210,330,IF(X94&gt;=11010,300,IF(X94&gt;=9930,270,IF(X94&gt;=9430,250,240))))),X103)</f>
        <v>360</v>
      </c>
      <c r="Y104" s="44">
        <f>IF(Y103="x",IF(Y94&gt;=13200,360,IF(Y94&gt;=12210,330,IF(Y94&gt;=11010,300,IF(Y94&gt;=9930,270,IF(Y94&gt;=9430,250,240))))),Y103)</f>
        <v>360</v>
      </c>
      <c r="Z104" s="44"/>
      <c r="AA104" s="44"/>
      <c r="AB104" s="44"/>
      <c r="AC104" s="44"/>
      <c r="AD104" s="44"/>
      <c r="AE104" s="44"/>
      <c r="AF104" s="31">
        <f>IF(AF103&lt;AF96,AF96,IF(AF103&gt;AF97,AF97-1,AF103))</f>
        <v>7600</v>
      </c>
      <c r="AG104" s="31">
        <f>IF(AG103&lt;AG96,AG96,IF(AG103&gt;AG97,AG97-1,AG103))</f>
        <v>7790</v>
      </c>
      <c r="AH104" s="31"/>
      <c r="AI104" s="44"/>
      <c r="AJ104" s="44"/>
      <c r="AS104" s="127"/>
      <c r="AT104" s="127"/>
      <c r="AU104" s="127"/>
      <c r="AV104" s="127"/>
      <c r="AW104" s="127"/>
      <c r="AX104" s="127"/>
      <c r="AY104" s="127"/>
      <c r="AZ104" s="127"/>
      <c r="BA104" s="127"/>
      <c r="BB104" s="133"/>
      <c r="BC104" s="133"/>
      <c r="BD104" s="186"/>
      <c r="BE104" s="186"/>
      <c r="BF104" s="127"/>
      <c r="BG104" s="127"/>
      <c r="BH104" s="127"/>
      <c r="BI104" s="127"/>
    </row>
    <row r="105" spans="7:61" ht="15.75" hidden="1">
      <c r="G105" s="42"/>
      <c r="H105" s="45">
        <f aca="true" t="shared" si="78" ref="H105:N105">IF(H95&lt;H101,0,CEILING((H95-H101)/H104,1))</f>
        <v>1</v>
      </c>
      <c r="I105" s="45">
        <f t="shared" si="78"/>
        <v>2</v>
      </c>
      <c r="J105" s="45">
        <f t="shared" si="78"/>
        <v>2</v>
      </c>
      <c r="K105" s="45">
        <f t="shared" si="78"/>
        <v>3</v>
      </c>
      <c r="L105" s="45">
        <f t="shared" si="78"/>
        <v>3</v>
      </c>
      <c r="M105" s="45">
        <f t="shared" si="78"/>
        <v>1</v>
      </c>
      <c r="N105" s="45">
        <f t="shared" si="78"/>
        <v>1</v>
      </c>
      <c r="O105" s="45">
        <f>IF(O95&lt;O101,0,CEILING((O95-O101)/O104,1))</f>
        <v>2</v>
      </c>
      <c r="P105" s="45">
        <f>IF(P95&lt;P101,0,CEILING((P95-P101)/P104,1))</f>
        <v>2</v>
      </c>
      <c r="Q105" s="45">
        <f>IF(Q95&lt;Q101,0,CEILING((Q95-Q101)/Q104,1))</f>
        <v>3</v>
      </c>
      <c r="R105" s="45"/>
      <c r="S105" s="45"/>
      <c r="T105" s="45"/>
      <c r="U105" s="45"/>
      <c r="V105" s="45"/>
      <c r="X105" s="45">
        <f>IF(X95&lt;X101,0,CEILING((X95-X101)/X104,1))</f>
        <v>2</v>
      </c>
      <c r="Y105" s="45">
        <f>IF(Y95&lt;Y101,0,CEILING((Y95-Y101)/Y104,1))</f>
        <v>3</v>
      </c>
      <c r="Z105" s="45"/>
      <c r="AA105" s="45"/>
      <c r="AB105" s="45"/>
      <c r="AC105" s="45"/>
      <c r="AD105" s="45"/>
      <c r="AF105" s="48" t="str">
        <f>IF(AF104&gt;=31980,700,IF(AF104&gt;=26780,650,IF(AF104&gt;=26180,600,IF(AF104&gt;=20680,550,IF(AF104&gt;=16180,500,IF(AF104&gt;=12580,450,IF(AF104&gt;=11410,390,IF(AF104&gt;=10730,340,"xxx"))))))))</f>
        <v>xxx</v>
      </c>
      <c r="AG105" s="48" t="str">
        <f>IF(AG104&gt;=31980,700,IF(AG104&gt;=26780,650,IF(AG104&gt;=26180,600,IF(AG104&gt;=20680,550,IF(AG104&gt;=16180,500,IF(AG104&gt;=12580,450,IF(AG104&gt;=11410,390,IF(AG104&gt;=10730,340,"xxx"))))))))</f>
        <v>xxx</v>
      </c>
      <c r="AH105" s="48"/>
      <c r="AI105" s="45"/>
      <c r="AJ105" s="45"/>
      <c r="AS105" s="127"/>
      <c r="AT105" s="127"/>
      <c r="AU105" s="127"/>
      <c r="AV105" s="127"/>
      <c r="AW105" s="127"/>
      <c r="AX105" s="127"/>
      <c r="AY105" s="127"/>
      <c r="AZ105" s="127"/>
      <c r="BA105" s="127"/>
      <c r="BB105" s="133"/>
      <c r="BC105" s="133"/>
      <c r="BD105" s="187"/>
      <c r="BE105" s="187"/>
      <c r="BF105" s="127"/>
      <c r="BG105" s="127"/>
      <c r="BH105" s="127"/>
      <c r="BI105" s="127"/>
    </row>
    <row r="106" spans="7:61" ht="15.75" hidden="1">
      <c r="G106" s="42"/>
      <c r="H106" s="44">
        <f>H105-(I32-H101)/H104</f>
        <v>-79.46969696969697</v>
      </c>
      <c r="I106" s="44">
        <f aca="true" t="shared" si="79" ref="I106:N106">I105-(I95-I101)/I104</f>
        <v>0.6121212121212121</v>
      </c>
      <c r="J106" s="44">
        <f t="shared" si="79"/>
        <v>0.5060606060606061</v>
      </c>
      <c r="K106" s="44">
        <f t="shared" si="79"/>
        <v>0.6000000000000001</v>
      </c>
      <c r="L106" s="44">
        <f t="shared" si="79"/>
        <v>0.49090909090909074</v>
      </c>
      <c r="M106" s="44">
        <f t="shared" si="79"/>
        <v>0.6194444444444445</v>
      </c>
      <c r="N106" s="44">
        <f t="shared" si="79"/>
        <v>0.5166666666666666</v>
      </c>
      <c r="O106" s="44">
        <f>O105-(O95-O101)/O104</f>
        <v>0.6333333333333333</v>
      </c>
      <c r="P106" s="44">
        <f>P105-(P95-P101)/P104</f>
        <v>0.5277777777777777</v>
      </c>
      <c r="Q106" s="44">
        <f>Q105-(Q95-Q101)/Q104</f>
        <v>0.49090909090909074</v>
      </c>
      <c r="R106" s="44"/>
      <c r="S106" s="44"/>
      <c r="T106" s="44"/>
      <c r="U106" s="44"/>
      <c r="V106" s="44"/>
      <c r="X106" s="44">
        <f>X105-(X95-X101)/X104</f>
        <v>0.7388888888888889</v>
      </c>
      <c r="Y106" s="44">
        <f>Y105-(Y95-Y101)/Y104</f>
        <v>0.8583333333333334</v>
      </c>
      <c r="Z106" s="44"/>
      <c r="AA106" s="44"/>
      <c r="AB106" s="44"/>
      <c r="AC106" s="44"/>
      <c r="AD106" s="44"/>
      <c r="AF106" s="48">
        <f>IF(AF105="xxx",IF(AF104&gt;=9860,290,IF(AF104&gt;=8610,250,IF(AF104&gt;=8170,220,IF(AF104&gt;=7410,190,IF(AF104&gt;=6690,180,"XXX"))))),AF105)</f>
        <v>190</v>
      </c>
      <c r="AG106" s="48">
        <f>IF(AG105="xxx",IF(AG104&gt;=9860,290,IF(AG104&gt;=8610,250,IF(AG104&gt;=8170,220,IF(AG104&gt;=7410,190,IF(AG104&gt;=6690,180,"XXX"))))),AG105)</f>
        <v>190</v>
      </c>
      <c r="AH106" s="48"/>
      <c r="AI106" s="44"/>
      <c r="AJ106" s="44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33"/>
      <c r="BC106" s="133"/>
      <c r="BD106" s="174"/>
      <c r="BE106" s="174"/>
      <c r="BF106" s="127"/>
      <c r="BG106" s="127"/>
      <c r="BH106" s="127"/>
      <c r="BI106" s="127"/>
    </row>
    <row r="107" spans="7:61" ht="15.75" hidden="1">
      <c r="G107" s="42"/>
      <c r="H107" s="46">
        <f>IF(H106=0,H105+1,H105)</f>
        <v>1</v>
      </c>
      <c r="I107" s="46">
        <f aca="true" t="shared" si="80" ref="I107:N107">IF(I106=0,I105+1,I105)</f>
        <v>2</v>
      </c>
      <c r="J107" s="46">
        <f t="shared" si="80"/>
        <v>2</v>
      </c>
      <c r="K107" s="46">
        <f t="shared" si="80"/>
        <v>3</v>
      </c>
      <c r="L107" s="46">
        <f t="shared" si="80"/>
        <v>3</v>
      </c>
      <c r="M107" s="46">
        <f t="shared" si="80"/>
        <v>1</v>
      </c>
      <c r="N107" s="46">
        <f t="shared" si="80"/>
        <v>1</v>
      </c>
      <c r="O107" s="46">
        <f>IF(O106=0,O105+1,O105)</f>
        <v>2</v>
      </c>
      <c r="P107" s="46">
        <f>IF(P106=0,P105+1,P105)</f>
        <v>2</v>
      </c>
      <c r="Q107" s="46">
        <f>IF(Q106=0,Q105+1,Q105)</f>
        <v>3</v>
      </c>
      <c r="R107" s="46"/>
      <c r="S107" s="46"/>
      <c r="T107" s="46"/>
      <c r="U107" s="46"/>
      <c r="V107" s="46"/>
      <c r="X107" s="46">
        <f>IF(X106=0,X105+1,X105)</f>
        <v>2</v>
      </c>
      <c r="Y107" s="46">
        <f>IF(Y106=0,Y105+1,Y105)</f>
        <v>3</v>
      </c>
      <c r="Z107" s="46"/>
      <c r="AA107" s="46"/>
      <c r="AB107" s="46"/>
      <c r="AC107" s="46"/>
      <c r="AD107" s="114" t="s">
        <v>221</v>
      </c>
      <c r="AF107" s="112">
        <f>IF(AF106="XXX",IF(AF104&gt;=5890,160,IF(AF104&gt;=5440,150,IF(AF104&gt;=4880,140,130))),AF106)</f>
        <v>190</v>
      </c>
      <c r="AG107" s="112">
        <f>IF(AG106="XXX",IF(AG104&gt;=5890,160,IF(AG104&gt;=5440,150,IF(AG104&gt;=4880,140,130))),AG106)</f>
        <v>190</v>
      </c>
      <c r="AH107" s="112"/>
      <c r="AI107" s="46"/>
      <c r="AJ107" s="46"/>
      <c r="AS107" s="127"/>
      <c r="AT107" s="127"/>
      <c r="AU107" s="127"/>
      <c r="AV107" s="127"/>
      <c r="AW107" s="127"/>
      <c r="AX107" s="127"/>
      <c r="AY107" s="127"/>
      <c r="AZ107" s="127"/>
      <c r="BA107" s="127"/>
      <c r="BB107" s="127"/>
      <c r="BC107" s="127"/>
      <c r="BD107" s="127"/>
      <c r="BE107" s="127"/>
      <c r="BF107" s="127"/>
      <c r="BG107" s="127"/>
      <c r="BH107" s="127"/>
      <c r="BI107" s="127"/>
    </row>
    <row r="108" spans="7:61" ht="15" hidden="1">
      <c r="G108" s="34"/>
      <c r="H108" s="43">
        <f>H104*H107</f>
        <v>330</v>
      </c>
      <c r="I108" s="43">
        <f aca="true" t="shared" si="81" ref="I108:N108">I104*I107</f>
        <v>660</v>
      </c>
      <c r="J108" s="43">
        <f t="shared" si="81"/>
        <v>660</v>
      </c>
      <c r="K108" s="43">
        <f t="shared" si="81"/>
        <v>990</v>
      </c>
      <c r="L108" s="43">
        <f t="shared" si="81"/>
        <v>990</v>
      </c>
      <c r="M108" s="43">
        <f t="shared" si="81"/>
        <v>360</v>
      </c>
      <c r="N108" s="43">
        <f t="shared" si="81"/>
        <v>360</v>
      </c>
      <c r="O108" s="43">
        <f>O104*O107</f>
        <v>720</v>
      </c>
      <c r="P108" s="43">
        <f>P104*P107</f>
        <v>720</v>
      </c>
      <c r="Q108" s="43">
        <f>Q104*Q107</f>
        <v>990</v>
      </c>
      <c r="R108" s="43"/>
      <c r="S108" s="43"/>
      <c r="T108" s="43"/>
      <c r="U108" s="43"/>
      <c r="V108" s="43"/>
      <c r="X108" s="43">
        <f>X104*X107</f>
        <v>720</v>
      </c>
      <c r="Y108" s="43">
        <f>Y104*Y107</f>
        <v>1080</v>
      </c>
      <c r="Z108" s="43"/>
      <c r="AA108" s="43"/>
      <c r="AB108" s="43"/>
      <c r="AC108" s="43"/>
      <c r="AD108" s="43"/>
      <c r="AG108" s="43"/>
      <c r="AH108" s="43"/>
      <c r="AI108" s="43"/>
      <c r="AJ108" s="43"/>
      <c r="AS108" s="127"/>
      <c r="AT108" s="127"/>
      <c r="AU108" s="127"/>
      <c r="AV108" s="127"/>
      <c r="AW108" s="127"/>
      <c r="AX108" s="127"/>
      <c r="AY108" s="127"/>
      <c r="AZ108" s="127"/>
      <c r="BA108" s="127"/>
      <c r="BB108" s="127"/>
      <c r="BC108" s="127"/>
      <c r="BD108" s="127"/>
      <c r="BE108" s="127"/>
      <c r="BF108" s="127"/>
      <c r="BG108" s="127"/>
      <c r="BH108" s="127"/>
      <c r="BI108" s="127"/>
    </row>
    <row r="109" spans="6:61" ht="15" hidden="1">
      <c r="F109" s="280" t="s">
        <v>167</v>
      </c>
      <c r="G109" s="280"/>
      <c r="H109" s="47">
        <f>VALUE(LEFT(M7,(FIND("-",M7))-1))</f>
        <v>10470</v>
      </c>
      <c r="I109" s="31">
        <f>VALUE(LEFT(M7,(FIND("-",M7))-1))</f>
        <v>10470</v>
      </c>
      <c r="J109" s="31">
        <f>VALUE(LEFT(M7,(FIND("-",M7))-1))</f>
        <v>10470</v>
      </c>
      <c r="K109" s="31">
        <f>VALUE(LEFT(M7,(FIND("-",M7))-1))</f>
        <v>10470</v>
      </c>
      <c r="L109" s="31">
        <f>VALUE(LEFT(M7,(FIND("-",M7))-1))</f>
        <v>10470</v>
      </c>
      <c r="M109" s="31">
        <f>VALUE(LEFT(M7,(FIND("-",M7))-1))</f>
        <v>10470</v>
      </c>
      <c r="N109" s="31">
        <f>VALUE(LEFT(M7,(FIND("-",M7))-1))</f>
        <v>10470</v>
      </c>
      <c r="O109" s="31">
        <f>VALUE(LEFT(M7,(FIND("-",M7))-1))</f>
        <v>10470</v>
      </c>
      <c r="P109" s="31">
        <f>VALUE(LEFT(M7,(FIND("-",M7))-1))</f>
        <v>10470</v>
      </c>
      <c r="Q109" s="31">
        <f>VALUE(LEFT(M7,(FIND("-",M7))-1))</f>
        <v>10470</v>
      </c>
      <c r="R109" s="31"/>
      <c r="S109" s="31"/>
      <c r="T109" s="31"/>
      <c r="U109" s="31"/>
      <c r="V109" s="31"/>
      <c r="X109" s="39">
        <f>H109</f>
        <v>10470</v>
      </c>
      <c r="Y109" s="39">
        <f>I109</f>
        <v>10470</v>
      </c>
      <c r="Z109" s="39"/>
      <c r="AA109" s="39"/>
      <c r="AB109" s="39"/>
      <c r="AC109" s="39"/>
      <c r="AD109" s="39"/>
      <c r="AG109" s="31"/>
      <c r="AH109" s="31"/>
      <c r="AI109" s="31"/>
      <c r="AJ109" s="31"/>
      <c r="AS109" s="127"/>
      <c r="AT109" s="127"/>
      <c r="AU109" s="127"/>
      <c r="AV109" s="127"/>
      <c r="AW109" s="127"/>
      <c r="AX109" s="127"/>
      <c r="AY109" s="127"/>
      <c r="AZ109" s="127"/>
      <c r="BA109" s="127"/>
      <c r="BB109" s="127"/>
      <c r="BC109" s="127"/>
      <c r="BD109" s="127"/>
      <c r="BE109" s="127"/>
      <c r="BF109" s="127"/>
      <c r="BG109" s="127"/>
      <c r="BH109" s="127"/>
      <c r="BI109" s="127"/>
    </row>
    <row r="110" spans="6:61" ht="15" hidden="1">
      <c r="F110" s="280" t="s">
        <v>168</v>
      </c>
      <c r="G110" s="280"/>
      <c r="H110" s="47">
        <f>VALUE(RIGHT(RIGHT(H7,8),LEN(RIGHT(H7,8))-FIND("-",RIGHT(H7,8),1)))</f>
        <v>9110</v>
      </c>
      <c r="I110" s="31">
        <f>VALUE(RIGHT(RIGHT(H7,8),LEN(RIGHT(H7,8))-FIND("-",RIGHT(H7,8),1)))</f>
        <v>9110</v>
      </c>
      <c r="J110" s="31">
        <f>VALUE(RIGHT(RIGHT(H7,8),LEN(RIGHT(H7,8))-FIND("-",RIGHT(H7,8),1)))</f>
        <v>9110</v>
      </c>
      <c r="K110" s="31">
        <f>VALUE(RIGHT(RIGHT(H7,8),LEN(RIGHT(H7,8))-FIND("-",RIGHT(H7,8),1)))</f>
        <v>9110</v>
      </c>
      <c r="L110" s="31">
        <f>VALUE(RIGHT(RIGHT(H7,8),LEN(RIGHT(H7,8))-FIND("-",RIGHT(H7,8),1)))</f>
        <v>9110</v>
      </c>
      <c r="M110" s="31">
        <f>VALUE(RIGHT(RIGHT(H7,8),LEN(RIGHT(H7,8))-FIND("-",RIGHT(H7,8),1)))</f>
        <v>9110</v>
      </c>
      <c r="N110" s="31">
        <f>VALUE(RIGHT(RIGHT(H7,8),LEN(RIGHT(H7,8))-FIND("-",RIGHT(H7,8),1)))</f>
        <v>9110</v>
      </c>
      <c r="O110" s="31">
        <f>VALUE(RIGHT(RIGHT(H7,8),LEN(RIGHT(H7,8))-FIND("-",RIGHT(H7,8),1)))</f>
        <v>9110</v>
      </c>
      <c r="P110" s="31">
        <f>VALUE(RIGHT(RIGHT(H7,8),LEN(RIGHT(H7,8))-FIND("-",RIGHT(H7,8),1)))</f>
        <v>9110</v>
      </c>
      <c r="Q110" s="31">
        <f>VALUE(RIGHT(RIGHT(H7,8),LEN(RIGHT(H7,8))-FIND("-",RIGHT(H7,8),1)))</f>
        <v>9110</v>
      </c>
      <c r="R110" s="31"/>
      <c r="S110" s="31"/>
      <c r="T110" s="31"/>
      <c r="U110" s="31"/>
      <c r="V110" s="31"/>
      <c r="X110" s="39">
        <f>H110</f>
        <v>9110</v>
      </c>
      <c r="Y110" s="39">
        <f>I110</f>
        <v>9110</v>
      </c>
      <c r="Z110" s="39"/>
      <c r="AA110" s="39"/>
      <c r="AB110" s="39"/>
      <c r="AC110" s="39"/>
      <c r="AD110" s="39"/>
      <c r="AG110" s="31"/>
      <c r="AH110" s="31"/>
      <c r="AI110" s="31"/>
      <c r="AJ110" s="31"/>
      <c r="AS110" s="127"/>
      <c r="AT110" s="127"/>
      <c r="AU110" s="127"/>
      <c r="AV110" s="127"/>
      <c r="AW110" s="127"/>
      <c r="AX110" s="127"/>
      <c r="AY110" s="127"/>
      <c r="AZ110" s="127"/>
      <c r="BA110" s="127"/>
      <c r="BB110" s="127"/>
      <c r="BC110" s="127"/>
      <c r="BD110" s="127"/>
      <c r="BE110" s="127"/>
      <c r="BF110" s="127"/>
      <c r="BG110" s="127"/>
      <c r="BH110" s="127"/>
      <c r="BI110" s="127"/>
    </row>
    <row r="111" spans="7:61" ht="15" hidden="1">
      <c r="G111" s="34"/>
      <c r="H111" s="31">
        <f aca="true" t="shared" si="82" ref="H111:Q111">IF(H88&gt;=H110,H110-1,H88)</f>
        <v>6870</v>
      </c>
      <c r="I111" s="31">
        <f t="shared" si="82"/>
        <v>7050</v>
      </c>
      <c r="J111" s="31">
        <f t="shared" si="82"/>
        <v>7050</v>
      </c>
      <c r="K111" s="31">
        <f t="shared" si="82"/>
        <v>7230</v>
      </c>
      <c r="L111" s="31">
        <f t="shared" si="82"/>
        <v>7230</v>
      </c>
      <c r="M111" s="31">
        <f t="shared" si="82"/>
        <v>7410</v>
      </c>
      <c r="N111" s="31">
        <f t="shared" si="82"/>
        <v>7410</v>
      </c>
      <c r="O111" s="31">
        <f t="shared" si="82"/>
        <v>7600</v>
      </c>
      <c r="P111" s="31">
        <f t="shared" si="82"/>
        <v>7600</v>
      </c>
      <c r="Q111" s="31">
        <f t="shared" si="82"/>
        <v>7230</v>
      </c>
      <c r="R111" s="31"/>
      <c r="S111" s="31"/>
      <c r="T111" s="31"/>
      <c r="U111" s="31"/>
      <c r="V111" s="31"/>
      <c r="X111" s="31">
        <f>IF(X88&gt;=X110,X110-1,X88)</f>
        <v>7600</v>
      </c>
      <c r="Y111" s="31">
        <f>IF(Y88&gt;=Y110,Y110-1,Y88)</f>
        <v>7790</v>
      </c>
      <c r="Z111" s="31"/>
      <c r="AA111" s="31"/>
      <c r="AB111" s="31"/>
      <c r="AC111" s="31"/>
      <c r="AD111" s="31"/>
      <c r="AG111" s="31"/>
      <c r="AH111" s="31"/>
      <c r="AI111" s="31"/>
      <c r="AJ111" s="31"/>
      <c r="AS111" s="127"/>
      <c r="AT111" s="127"/>
      <c r="AU111" s="127"/>
      <c r="AV111" s="127"/>
      <c r="AW111" s="127"/>
      <c r="AX111" s="127"/>
      <c r="AY111" s="127"/>
      <c r="AZ111" s="127"/>
      <c r="BA111" s="127"/>
      <c r="BB111" s="127"/>
      <c r="BC111" s="127"/>
      <c r="BD111" s="127"/>
      <c r="BE111" s="127"/>
      <c r="BF111" s="127"/>
      <c r="BG111" s="127"/>
      <c r="BH111" s="127"/>
      <c r="BI111" s="127"/>
    </row>
    <row r="112" spans="7:61" ht="45" hidden="1">
      <c r="G112" s="23"/>
      <c r="H112" s="48" t="str">
        <f>IF(H111&gt;=31980,700,IF(H111&gt;=26780,650,IF(H111&gt;=26180,600,IF(H111&gt;=20680,550,IF(H111&gt;=16180,500,IF(H111&gt;=12580,450,IF(H111&gt;=11410,390,IF(H111&gt;=10730,340,"xxx"))))))))</f>
        <v>xxx</v>
      </c>
      <c r="I112" s="48" t="str">
        <f aca="true" t="shared" si="83" ref="I112:N112">IF(I111&gt;=31980,700,IF(I111&gt;=26780,650,IF(I111&gt;=26180,600,IF(I111&gt;=20680,550,IF(I111&gt;=16180,500,IF(I111&gt;=12580,450,IF(I111&gt;=11410,390,IF(I111&gt;=10730,340,"xxx"))))))))</f>
        <v>xxx</v>
      </c>
      <c r="J112" s="48" t="str">
        <f t="shared" si="83"/>
        <v>xxx</v>
      </c>
      <c r="K112" s="48" t="str">
        <f t="shared" si="83"/>
        <v>xxx</v>
      </c>
      <c r="L112" s="48" t="str">
        <f t="shared" si="83"/>
        <v>xxx</v>
      </c>
      <c r="M112" s="48" t="str">
        <f t="shared" si="83"/>
        <v>xxx</v>
      </c>
      <c r="N112" s="48" t="str">
        <f t="shared" si="83"/>
        <v>xxx</v>
      </c>
      <c r="O112" s="48" t="str">
        <f>IF(O111&gt;=31980,700,IF(O111&gt;=26780,650,IF(O111&gt;=26180,600,IF(O111&gt;=20680,550,IF(O111&gt;=16180,500,IF(O111&gt;=12580,450,IF(O111&gt;=11410,390,IF(O111&gt;=10730,340,"xxx"))))))))</f>
        <v>xxx</v>
      </c>
      <c r="P112" s="48" t="str">
        <f>IF(P111&gt;=31980,700,IF(P111&gt;=26780,650,IF(P111&gt;=26180,600,IF(P111&gt;=20680,550,IF(P111&gt;=16180,500,IF(P111&gt;=12580,450,IF(P111&gt;=11410,390,IF(P111&gt;=10730,340,"xxx"))))))))</f>
        <v>xxx</v>
      </c>
      <c r="Q112" s="48" t="str">
        <f>IF(Q111&gt;=31980,700,IF(Q111&gt;=26780,650,IF(Q111&gt;=26180,600,IF(Q111&gt;=20680,550,IF(Q111&gt;=16180,500,IF(Q111&gt;=12580,450,IF(Q111&gt;=11410,390,IF(Q111&gt;=10730,340,"xxx"))))))))</f>
        <v>xxx</v>
      </c>
      <c r="R112" s="48"/>
      <c r="S112" s="48"/>
      <c r="T112" s="48"/>
      <c r="U112" s="48"/>
      <c r="V112" s="48"/>
      <c r="X112" s="48" t="str">
        <f>IF(X111&gt;=31980,700,IF(X111&gt;=26780,650,IF(X111&gt;=26180,600,IF(X111&gt;=20680,550,IF(X111&gt;=16180,500,IF(X111&gt;=12580,450,IF(X111&gt;=11410,390,IF(X111&gt;=10730,340,"xxx"))))))))</f>
        <v>xxx</v>
      </c>
      <c r="Y112" s="48" t="str">
        <f>IF(Y111&gt;=31980,700,IF(Y111&gt;=26780,650,IF(Y111&gt;=26180,600,IF(Y111&gt;=20680,550,IF(Y111&gt;=16180,500,IF(Y111&gt;=12580,450,IF(Y111&gt;=11410,390,IF(Y111&gt;=10730,340,"xxx"))))))))</f>
        <v>xxx</v>
      </c>
      <c r="Z112" s="48"/>
      <c r="AA112" s="48"/>
      <c r="AB112" s="48"/>
      <c r="AC112" s="48"/>
      <c r="AD112" s="48"/>
      <c r="AG112" s="48"/>
      <c r="AH112" s="48"/>
      <c r="AI112" s="48"/>
      <c r="AJ112" s="48"/>
      <c r="AS112" s="127"/>
      <c r="AT112" s="127"/>
      <c r="AU112" s="127"/>
      <c r="AV112" s="127"/>
      <c r="AW112" s="127"/>
      <c r="AX112" s="127"/>
      <c r="AY112" s="127"/>
      <c r="AZ112" s="127"/>
      <c r="BA112" s="127"/>
      <c r="BB112" s="127"/>
      <c r="BC112" s="127"/>
      <c r="BD112" s="127"/>
      <c r="BE112" s="127"/>
      <c r="BF112" s="127"/>
      <c r="BG112" s="127"/>
      <c r="BH112" s="127"/>
      <c r="BI112" s="127"/>
    </row>
    <row r="113" spans="7:61" ht="45" hidden="1">
      <c r="G113" s="42"/>
      <c r="H113" s="48">
        <f>IF(H112="xxx",IF(H111&gt;=9860,290,IF(H111&gt;=8610,250,IF(H111&gt;=8170,220,IF(H111&gt;=7410,190,IF(H111&gt;=6690,180,"XXX"))))),H112)</f>
        <v>180</v>
      </c>
      <c r="I113" s="48">
        <f aca="true" t="shared" si="84" ref="I113:N113">IF(I112="xxx",IF(I111&gt;=9860,290,IF(I111&gt;=8610,250,IF(I111&gt;=8170,220,IF(I111&gt;=7410,190,IF(I111&gt;=6690,180,"XXX"))))),I112)</f>
        <v>180</v>
      </c>
      <c r="J113" s="48">
        <f t="shared" si="84"/>
        <v>180</v>
      </c>
      <c r="K113" s="48">
        <f t="shared" si="84"/>
        <v>180</v>
      </c>
      <c r="L113" s="48">
        <f t="shared" si="84"/>
        <v>180</v>
      </c>
      <c r="M113" s="48">
        <f t="shared" si="84"/>
        <v>190</v>
      </c>
      <c r="N113" s="48">
        <f t="shared" si="84"/>
        <v>190</v>
      </c>
      <c r="O113" s="48">
        <f>IF(O112="xxx",IF(O111&gt;=9860,290,IF(O111&gt;=8610,250,IF(O111&gt;=8170,220,IF(O111&gt;=7410,190,IF(O111&gt;=6690,180,"XXX"))))),O112)</f>
        <v>190</v>
      </c>
      <c r="P113" s="48">
        <f>IF(P112="xxx",IF(P111&gt;=9860,290,IF(P111&gt;=8610,250,IF(P111&gt;=8170,220,IF(P111&gt;=7410,190,IF(P111&gt;=6690,180,"XXX"))))),P112)</f>
        <v>190</v>
      </c>
      <c r="Q113" s="48">
        <f>IF(Q112="xxx",IF(Q111&gt;=9860,290,IF(Q111&gt;=8610,250,IF(Q111&gt;=8170,220,IF(Q111&gt;=7410,190,IF(Q111&gt;=6690,180,"XXX"))))),Q112)</f>
        <v>180</v>
      </c>
      <c r="R113" s="48"/>
      <c r="S113" s="48"/>
      <c r="T113" s="48"/>
      <c r="U113" s="48"/>
      <c r="V113" s="48"/>
      <c r="X113" s="48">
        <f>IF(X112="xxx",IF(X111&gt;=9860,290,IF(X111&gt;=8610,250,IF(X111&gt;=8170,220,IF(X111&gt;=7410,190,IF(X111&gt;=6690,180,"XXX"))))),X112)</f>
        <v>190</v>
      </c>
      <c r="Y113" s="48">
        <f>IF(Y112="xxx",IF(Y111&gt;=9860,290,IF(Y111&gt;=8610,250,IF(Y111&gt;=8170,220,IF(Y111&gt;=7410,190,IF(Y111&gt;=6690,180,"XXX"))))),Y112)</f>
        <v>190</v>
      </c>
      <c r="Z113" s="48"/>
      <c r="AA113" s="48"/>
      <c r="AB113" s="48"/>
      <c r="AC113" s="48"/>
      <c r="AD113" s="48"/>
      <c r="AG113" s="48"/>
      <c r="AH113" s="48"/>
      <c r="AI113" s="48"/>
      <c r="AJ113" s="48"/>
      <c r="AS113" s="127"/>
      <c r="AT113" s="127"/>
      <c r="AU113" s="127"/>
      <c r="AV113" s="127"/>
      <c r="AW113" s="127"/>
      <c r="AX113" s="127"/>
      <c r="AY113" s="127"/>
      <c r="AZ113" s="127"/>
      <c r="BA113" s="127"/>
      <c r="BB113" s="127"/>
      <c r="BC113" s="127"/>
      <c r="BD113" s="127"/>
      <c r="BE113" s="127"/>
      <c r="BF113" s="127"/>
      <c r="BG113" s="127"/>
      <c r="BH113" s="127"/>
      <c r="BI113" s="127"/>
    </row>
    <row r="114" spans="6:61" ht="15" hidden="1">
      <c r="F114" s="280" t="s">
        <v>169</v>
      </c>
      <c r="G114" s="280"/>
      <c r="H114" s="49">
        <f>IF(H113="XXX",IF(H111&gt;=5890,160,IF(H111&gt;=5440,150,IF(H111&gt;=4880,140,130))),H113)</f>
        <v>180</v>
      </c>
      <c r="I114" s="49">
        <f aca="true" t="shared" si="85" ref="I114:N114">IF(I113="XXX",IF(I111&gt;=5890,160,IF(I111&gt;=5440,150,IF(I111&gt;=4880,140,130))),I113)</f>
        <v>180</v>
      </c>
      <c r="J114" s="49">
        <f t="shared" si="85"/>
        <v>180</v>
      </c>
      <c r="K114" s="49">
        <f t="shared" si="85"/>
        <v>180</v>
      </c>
      <c r="L114" s="49">
        <f t="shared" si="85"/>
        <v>180</v>
      </c>
      <c r="M114" s="49">
        <f t="shared" si="85"/>
        <v>190</v>
      </c>
      <c r="N114" s="49">
        <f t="shared" si="85"/>
        <v>190</v>
      </c>
      <c r="O114" s="49">
        <f>IF(O113="XXX",IF(O111&gt;=5890,160,IF(O111&gt;=5440,150,IF(O111&gt;=4880,140,130))),O113)</f>
        <v>190</v>
      </c>
      <c r="P114" s="49">
        <f>IF(P113="XXX",IF(P111&gt;=5890,160,IF(P111&gt;=5440,150,IF(P111&gt;=4880,140,130))),P113)</f>
        <v>190</v>
      </c>
      <c r="Q114" s="49">
        <f>IF(Q113="XXX",IF(Q111&gt;=5890,160,IF(Q111&gt;=5440,150,IF(Q111&gt;=4880,140,130))),Q113)</f>
        <v>180</v>
      </c>
      <c r="R114" s="49"/>
      <c r="S114" s="49"/>
      <c r="T114" s="49"/>
      <c r="U114" s="49"/>
      <c r="V114" s="49"/>
      <c r="X114" s="49">
        <f>IF(X113="XXX",IF(X111&gt;=5890,160,IF(X111&gt;=5440,150,IF(X111&gt;=4880,140,130))),X113)</f>
        <v>190</v>
      </c>
      <c r="Y114" s="49">
        <f>IF(Y113="XXX",IF(Y111&gt;=5890,160,IF(Y111&gt;=5440,150,IF(Y111&gt;=4880,140,130))),Y113)</f>
        <v>190</v>
      </c>
      <c r="Z114" s="49"/>
      <c r="AA114" s="49"/>
      <c r="AB114" s="49"/>
      <c r="AC114" s="49"/>
      <c r="AD114" s="49"/>
      <c r="AG114" s="49"/>
      <c r="AH114" s="49"/>
      <c r="AI114" s="49"/>
      <c r="AJ114" s="49"/>
      <c r="AS114" s="127"/>
      <c r="AT114" s="127"/>
      <c r="AU114" s="127"/>
      <c r="AV114" s="127"/>
      <c r="AW114" s="127"/>
      <c r="AX114" s="127"/>
      <c r="AY114" s="127"/>
      <c r="AZ114" s="127"/>
      <c r="BA114" s="127"/>
      <c r="BB114" s="127"/>
      <c r="BC114" s="127"/>
      <c r="BD114" s="127"/>
      <c r="BE114" s="127"/>
      <c r="BF114" s="127"/>
      <c r="BG114" s="127"/>
      <c r="BH114" s="127"/>
      <c r="BI114" s="127"/>
    </row>
    <row r="115" spans="6:61" ht="15" customHeight="1" hidden="1">
      <c r="F115" s="280" t="s">
        <v>170</v>
      </c>
      <c r="G115" s="280"/>
      <c r="H115" s="47">
        <f>VALUE(RIGHT(RIGHT(M7,8),LEN(RIGHT(M7,8))-FIND("-",RIGHT(M7,8),1)))</f>
        <v>26870</v>
      </c>
      <c r="I115" s="47">
        <f>VALUE(RIGHT(RIGHT(M7,8),LEN(RIGHT(M7,8))-FIND("-",RIGHT(M7,8),1)))</f>
        <v>26870</v>
      </c>
      <c r="J115" s="47">
        <f>VALUE(RIGHT(RIGHT(M7,8),LEN(RIGHT(M7,8))-FIND("-",RIGHT(M7,8),1)))</f>
        <v>26870</v>
      </c>
      <c r="K115" s="47">
        <f>VALUE(RIGHT(RIGHT(M7,8),LEN(RIGHT(M7,8))-FIND("-",RIGHT(M7,8),1)))</f>
        <v>26870</v>
      </c>
      <c r="L115" s="47">
        <f>VALUE(RIGHT(RIGHT(M7,8),LEN(RIGHT(M7,8))-FIND("-",RIGHT(M7,8),1)))</f>
        <v>26870</v>
      </c>
      <c r="M115" s="47">
        <f>VALUE(RIGHT(RIGHT(M7,8),LEN(RIGHT(M7,8))-FIND("-",RIGHT(M7,8),1)))</f>
        <v>26870</v>
      </c>
      <c r="N115" s="47">
        <f>VALUE(RIGHT(RIGHT(M7,8),LEN(RIGHT(M7,8))-FIND("-",RIGHT(M7,8),1)))</f>
        <v>26870</v>
      </c>
      <c r="O115" s="47">
        <f>VALUE(RIGHT(RIGHT(M7,8),LEN(RIGHT(M7,8))-FIND("-",RIGHT(M7,8),1)))</f>
        <v>26870</v>
      </c>
      <c r="P115" s="47">
        <f>VALUE(RIGHT(RIGHT(M7,8),LEN(RIGHT(M7,8))-FIND("-",RIGHT(M7,8),1)))</f>
        <v>26870</v>
      </c>
      <c r="Q115" s="47">
        <f>VALUE(RIGHT(RIGHT(M7,8),LEN(RIGHT(M7,8))-FIND("-",RIGHT(M7,8),1)))</f>
        <v>26870</v>
      </c>
      <c r="R115" s="47"/>
      <c r="S115" s="47"/>
      <c r="T115" s="47"/>
      <c r="U115" s="47"/>
      <c r="V115" s="47"/>
      <c r="X115" s="39">
        <f>H115</f>
        <v>26870</v>
      </c>
      <c r="Y115" s="39">
        <f>I115</f>
        <v>26870</v>
      </c>
      <c r="Z115" s="39"/>
      <c r="AA115" s="39"/>
      <c r="AB115" s="39"/>
      <c r="AC115" s="39"/>
      <c r="AD115" s="39"/>
      <c r="AG115" s="31"/>
      <c r="AH115" s="31"/>
      <c r="AI115" s="31"/>
      <c r="AJ115" s="31"/>
      <c r="AS115" s="127"/>
      <c r="AT115" s="127"/>
      <c r="AU115" s="127"/>
      <c r="AV115" s="127"/>
      <c r="AW115" s="127"/>
      <c r="AX115" s="127"/>
      <c r="AY115" s="127"/>
      <c r="AZ115" s="127"/>
      <c r="BA115" s="127"/>
      <c r="BB115" s="127"/>
      <c r="BC115" s="127"/>
      <c r="BD115" s="127"/>
      <c r="BE115" s="127"/>
      <c r="BF115" s="127"/>
      <c r="BG115" s="127"/>
      <c r="BH115" s="127"/>
      <c r="BI115" s="127"/>
    </row>
    <row r="116" spans="7:61" ht="15" hidden="1">
      <c r="G116" s="34"/>
      <c r="H116" s="39">
        <f aca="true" t="shared" si="86" ref="H116:N116">IF(H117&gt;=H115,H115-1,H117)</f>
        <v>12540</v>
      </c>
      <c r="I116" s="39">
        <f t="shared" si="86"/>
        <v>12870</v>
      </c>
      <c r="J116" s="39">
        <f t="shared" si="86"/>
        <v>12870</v>
      </c>
      <c r="K116" s="39">
        <f t="shared" si="86"/>
        <v>13200</v>
      </c>
      <c r="L116" s="39">
        <f t="shared" si="86"/>
        <v>13200</v>
      </c>
      <c r="M116" s="39">
        <f t="shared" si="86"/>
        <v>13560</v>
      </c>
      <c r="N116" s="39">
        <f t="shared" si="86"/>
        <v>13560</v>
      </c>
      <c r="O116" s="39">
        <f>IF(O117&gt;=O115,O115-1,O117)</f>
        <v>13920</v>
      </c>
      <c r="P116" s="39">
        <f>IF(P117&gt;=P115,P115-1,P117)</f>
        <v>13920</v>
      </c>
      <c r="Q116" s="39">
        <f>IF(Q117&gt;=Q115,Q115-1,Q117)</f>
        <v>13200</v>
      </c>
      <c r="R116" s="39"/>
      <c r="S116" s="39"/>
      <c r="T116" s="39"/>
      <c r="U116" s="39"/>
      <c r="V116" s="39"/>
      <c r="X116" s="39">
        <f>IF(X117&gt;=X115,X115-1,X117)</f>
        <v>13920</v>
      </c>
      <c r="Y116" s="39">
        <f>IF(Y117&gt;=Y115,Y115-1,Y117)</f>
        <v>14280</v>
      </c>
      <c r="Z116" s="39"/>
      <c r="AA116" s="39"/>
      <c r="AB116" s="39"/>
      <c r="AC116" s="39"/>
      <c r="AD116" s="39"/>
      <c r="AG116" s="39"/>
      <c r="AH116" s="39"/>
      <c r="AI116" s="39"/>
      <c r="AJ116" s="39"/>
      <c r="AS116" s="127"/>
      <c r="AT116" s="127"/>
      <c r="AU116" s="127"/>
      <c r="AV116" s="127"/>
      <c r="AW116" s="127"/>
      <c r="AX116" s="127"/>
      <c r="AY116" s="127"/>
      <c r="AZ116" s="127"/>
      <c r="BA116" s="127"/>
      <c r="BB116" s="127"/>
      <c r="BC116" s="127"/>
      <c r="BD116" s="127"/>
      <c r="BE116" s="127"/>
      <c r="BF116" s="127"/>
      <c r="BG116" s="127"/>
      <c r="BH116" s="127"/>
      <c r="BI116" s="127"/>
    </row>
    <row r="117" spans="6:61" ht="15" customHeight="1" hidden="1">
      <c r="F117" s="280" t="s">
        <v>158</v>
      </c>
      <c r="G117" s="280"/>
      <c r="H117" s="39">
        <f aca="true" t="shared" si="87" ref="H117:N117">H97</f>
        <v>12540</v>
      </c>
      <c r="I117" s="39">
        <f t="shared" si="87"/>
        <v>12870</v>
      </c>
      <c r="J117" s="39">
        <f t="shared" si="87"/>
        <v>12870</v>
      </c>
      <c r="K117" s="39">
        <f t="shared" si="87"/>
        <v>13200</v>
      </c>
      <c r="L117" s="39">
        <f t="shared" si="87"/>
        <v>13200</v>
      </c>
      <c r="M117" s="39">
        <f t="shared" si="87"/>
        <v>13560</v>
      </c>
      <c r="N117" s="39">
        <f t="shared" si="87"/>
        <v>13560</v>
      </c>
      <c r="O117" s="39">
        <f>O97</f>
        <v>13920</v>
      </c>
      <c r="P117" s="39">
        <f>P97</f>
        <v>13920</v>
      </c>
      <c r="Q117" s="39">
        <f>Q97</f>
        <v>13200</v>
      </c>
      <c r="R117" s="39"/>
      <c r="S117" s="39"/>
      <c r="T117" s="39"/>
      <c r="U117" s="39"/>
      <c r="V117" s="39"/>
      <c r="X117" s="39">
        <f>X97</f>
        <v>13920</v>
      </c>
      <c r="Y117" s="39">
        <f>Y97</f>
        <v>14280</v>
      </c>
      <c r="Z117" s="39"/>
      <c r="AA117" s="39"/>
      <c r="AB117" s="39"/>
      <c r="AC117" s="39"/>
      <c r="AD117" s="39"/>
      <c r="AG117" s="39"/>
      <c r="AH117" s="39"/>
      <c r="AI117" s="39"/>
      <c r="AJ117" s="39"/>
      <c r="AS117" s="127"/>
      <c r="AT117" s="127"/>
      <c r="AU117" s="127"/>
      <c r="AV117" s="127"/>
      <c r="AW117" s="127"/>
      <c r="AX117" s="127"/>
      <c r="AY117" s="127"/>
      <c r="AZ117" s="127"/>
      <c r="BA117" s="127"/>
      <c r="BB117" s="127"/>
      <c r="BC117" s="127"/>
      <c r="BD117" s="127"/>
      <c r="BE117" s="127"/>
      <c r="BF117" s="127"/>
      <c r="BG117" s="127"/>
      <c r="BH117" s="127"/>
      <c r="BI117" s="127"/>
    </row>
    <row r="118" spans="6:61" ht="15" customHeight="1" hidden="1">
      <c r="F118" s="280" t="s">
        <v>171</v>
      </c>
      <c r="G118" s="280"/>
      <c r="H118" s="43" t="str">
        <f>IF(H116&gt;=59250,1400,IF(H116&gt;=54050,1300,IF(H116&gt;=49250,1200,IF(H116&gt;=43750,1100,IF(H116&gt;=39750,1000,IF(H116&gt;=36110,910,IF(H116&gt;=32750,840,"X")))))))</f>
        <v>X</v>
      </c>
      <c r="I118" s="43" t="str">
        <f aca="true" t="shared" si="88" ref="I118:N118">IF(I116&gt;=59250,1400,IF(I116&gt;=54050,1300,IF(I116&gt;=49250,1200,IF(I116&gt;=43750,1100,IF(I116&gt;=39750,1000,IF(I116&gt;=36110,910,IF(I116&gt;=32750,840,"X")))))))</f>
        <v>X</v>
      </c>
      <c r="J118" s="43" t="str">
        <f t="shared" si="88"/>
        <v>X</v>
      </c>
      <c r="K118" s="43" t="str">
        <f t="shared" si="88"/>
        <v>X</v>
      </c>
      <c r="L118" s="43" t="str">
        <f t="shared" si="88"/>
        <v>X</v>
      </c>
      <c r="M118" s="43" t="str">
        <f t="shared" si="88"/>
        <v>X</v>
      </c>
      <c r="N118" s="43" t="str">
        <f t="shared" si="88"/>
        <v>X</v>
      </c>
      <c r="O118" s="43" t="str">
        <f>IF(O116&gt;=59250,1400,IF(O116&gt;=54050,1300,IF(O116&gt;=49250,1200,IF(O116&gt;=43750,1100,IF(O116&gt;=39750,1000,IF(O116&gt;=36110,910,IF(O116&gt;=32750,840,"X")))))))</f>
        <v>X</v>
      </c>
      <c r="P118" s="43" t="str">
        <f>IF(P116&gt;=59250,1400,IF(P116&gt;=54050,1300,IF(P116&gt;=49250,1200,IF(P116&gt;=43750,1100,IF(P116&gt;=39750,1000,IF(P116&gt;=36110,910,IF(P116&gt;=32750,840,"X")))))))</f>
        <v>X</v>
      </c>
      <c r="Q118" s="43" t="str">
        <f>IF(Q116&gt;=59250,1400,IF(Q116&gt;=54050,1300,IF(Q116&gt;=49250,1200,IF(Q116&gt;=43750,1100,IF(Q116&gt;=39750,1000,IF(Q116&gt;=36110,910,IF(Q116&gt;=32750,840,"X")))))))</f>
        <v>X</v>
      </c>
      <c r="R118" s="43"/>
      <c r="S118" s="43"/>
      <c r="T118" s="43"/>
      <c r="U118" s="43"/>
      <c r="V118" s="43"/>
      <c r="X118" s="43" t="str">
        <f>IF(X116&gt;=59250,1400,IF(X116&gt;=54050,1300,IF(X116&gt;=49250,1200,IF(X116&gt;=43750,1100,IF(X116&gt;=39750,1000,IF(X116&gt;=36110,910,IF(X116&gt;=32750,840,"X")))))))</f>
        <v>X</v>
      </c>
      <c r="Y118" s="43" t="str">
        <f>IF(Y116&gt;=59250,1400,IF(Y116&gt;=54050,1300,IF(Y116&gt;=49250,1200,IF(Y116&gt;=43750,1100,IF(Y116&gt;=39750,1000,IF(Y116&gt;=36110,910,IF(Y116&gt;=32750,840,"X")))))))</f>
        <v>X</v>
      </c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S118" s="127"/>
      <c r="AT118" s="127"/>
      <c r="AU118" s="127"/>
      <c r="AV118" s="127"/>
      <c r="AW118" s="127"/>
      <c r="AX118" s="127"/>
      <c r="AY118" s="127"/>
      <c r="AZ118" s="127"/>
      <c r="BA118" s="127"/>
      <c r="BB118" s="127"/>
      <c r="BC118" s="127"/>
      <c r="BD118" s="127"/>
      <c r="BE118" s="127"/>
      <c r="BF118" s="127"/>
      <c r="BG118" s="127"/>
      <c r="BH118" s="127"/>
      <c r="BI118" s="127"/>
    </row>
    <row r="119" spans="7:61" ht="15" hidden="1">
      <c r="G119" s="34"/>
      <c r="H119" s="43" t="str">
        <f>IF(H118="x",IF(H116&gt;=29670,770,IF(H116&gt;=26870,700,IF(H116&gt;=23720,630,IF(H116&gt;=21440,570,IF(H116&gt;=18440,500,IF(H116&gt;=16640,450,IF(H116&gt;=14640,400,"x"))))))),H118)</f>
        <v>x</v>
      </c>
      <c r="I119" s="43" t="str">
        <f aca="true" t="shared" si="89" ref="I119:N119">IF(I118="x",IF(I116&gt;=29670,770,IF(I116&gt;=26870,700,IF(I116&gt;=23720,630,IF(I116&gt;=21440,570,IF(I116&gt;=18440,500,IF(I116&gt;=16640,450,IF(I116&gt;=14640,400,"x"))))))),I118)</f>
        <v>x</v>
      </c>
      <c r="J119" s="43" t="str">
        <f t="shared" si="89"/>
        <v>x</v>
      </c>
      <c r="K119" s="43" t="str">
        <f t="shared" si="89"/>
        <v>x</v>
      </c>
      <c r="L119" s="43" t="str">
        <f t="shared" si="89"/>
        <v>x</v>
      </c>
      <c r="M119" s="43" t="str">
        <f t="shared" si="89"/>
        <v>x</v>
      </c>
      <c r="N119" s="43" t="str">
        <f t="shared" si="89"/>
        <v>x</v>
      </c>
      <c r="O119" s="43" t="str">
        <f>IF(O118="x",IF(O116&gt;=29670,770,IF(O116&gt;=26870,700,IF(O116&gt;=23720,630,IF(O116&gt;=21440,570,IF(O116&gt;=18440,500,IF(O116&gt;=16640,450,IF(O116&gt;=14640,400,"x"))))))),O118)</f>
        <v>x</v>
      </c>
      <c r="P119" s="43" t="str">
        <f>IF(P118="x",IF(P116&gt;=29670,770,IF(P116&gt;=26870,700,IF(P116&gt;=23720,630,IF(P116&gt;=21440,570,IF(P116&gt;=18440,500,IF(P116&gt;=16640,450,IF(P116&gt;=14640,400,"x"))))))),P118)</f>
        <v>x</v>
      </c>
      <c r="Q119" s="43" t="str">
        <f>IF(Q118="x",IF(Q116&gt;=29670,770,IF(Q116&gt;=26870,700,IF(Q116&gt;=23720,630,IF(Q116&gt;=21440,570,IF(Q116&gt;=18440,500,IF(Q116&gt;=16640,450,IF(Q116&gt;=14640,400,"x"))))))),Q118)</f>
        <v>x</v>
      </c>
      <c r="R119" s="43"/>
      <c r="S119" s="43"/>
      <c r="T119" s="43"/>
      <c r="U119" s="43"/>
      <c r="V119" s="43"/>
      <c r="X119" s="43" t="str">
        <f>IF(X118="x",IF(X116&gt;=29670,770,IF(X116&gt;=26870,700,IF(X116&gt;=23720,630,IF(X116&gt;=21440,570,IF(X116&gt;=18440,500,IF(X116&gt;=16640,450,IF(X116&gt;=14640,400,"x"))))))),X118)</f>
        <v>x</v>
      </c>
      <c r="Y119" s="43" t="str">
        <f>IF(Y118="x",IF(Y116&gt;=29670,770,IF(Y116&gt;=26870,700,IF(Y116&gt;=23720,630,IF(Y116&gt;=21440,570,IF(Y116&gt;=18440,500,IF(Y116&gt;=16640,450,IF(Y116&gt;=14640,400,"x"))))))),Y118)</f>
        <v>x</v>
      </c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S119" s="127"/>
      <c r="AT119" s="127"/>
      <c r="AU119" s="127"/>
      <c r="AV119" s="127"/>
      <c r="AW119" s="127"/>
      <c r="AX119" s="127"/>
      <c r="AY119" s="127"/>
      <c r="AZ119" s="127"/>
      <c r="BA119" s="127"/>
      <c r="BB119" s="127"/>
      <c r="BC119" s="127"/>
      <c r="BD119" s="127"/>
      <c r="BE119" s="127"/>
      <c r="BF119" s="127"/>
      <c r="BG119" s="127"/>
      <c r="BH119" s="127"/>
      <c r="BI119" s="127"/>
    </row>
    <row r="120" spans="7:61" ht="15.75" hidden="1">
      <c r="G120" s="34"/>
      <c r="H120" s="44">
        <f aca="true" t="shared" si="90" ref="H120:N120">IF(H119="x",IF(H116&gt;=13200,360,IF(H116&gt;=12210,330,IF(H116&gt;=11010,300,IF(H116&gt;=9930,270,IF(H116&gt;=9430,250,240))))),H119)</f>
        <v>330</v>
      </c>
      <c r="I120" s="44">
        <f t="shared" si="90"/>
        <v>330</v>
      </c>
      <c r="J120" s="44">
        <f t="shared" si="90"/>
        <v>330</v>
      </c>
      <c r="K120" s="44">
        <f t="shared" si="90"/>
        <v>360</v>
      </c>
      <c r="L120" s="44">
        <f t="shared" si="90"/>
        <v>360</v>
      </c>
      <c r="M120" s="44">
        <f t="shared" si="90"/>
        <v>360</v>
      </c>
      <c r="N120" s="44">
        <f t="shared" si="90"/>
        <v>360</v>
      </c>
      <c r="O120" s="44">
        <f>IF(O119="x",IF(O116&gt;=13200,360,IF(O116&gt;=12210,330,IF(O116&gt;=11010,300,IF(O116&gt;=9930,270,IF(O116&gt;=9430,250,240))))),O119)</f>
        <v>360</v>
      </c>
      <c r="P120" s="44">
        <f>IF(P119="x",IF(P116&gt;=13200,360,IF(P116&gt;=12210,330,IF(P116&gt;=11010,300,IF(P116&gt;=9930,270,IF(P116&gt;=9430,250,240))))),P119)</f>
        <v>360</v>
      </c>
      <c r="Q120" s="44">
        <f>IF(Q119="x",IF(Q116&gt;=13200,360,IF(Q116&gt;=12210,330,IF(Q116&gt;=11010,300,IF(Q116&gt;=9930,270,IF(Q116&gt;=9430,250,240))))),Q119)</f>
        <v>360</v>
      </c>
      <c r="R120" s="44"/>
      <c r="S120" s="44"/>
      <c r="T120" s="44"/>
      <c r="U120" s="44"/>
      <c r="V120" s="44"/>
      <c r="X120" s="44">
        <f>IF(X119="x",IF(X116&gt;=13200,360,IF(X116&gt;=12210,330,IF(X116&gt;=11010,300,IF(X116&gt;=9930,270,IF(X116&gt;=9430,250,240))))),X119)</f>
        <v>360</v>
      </c>
      <c r="Y120" s="44">
        <f>IF(Y119="x",IF(Y116&gt;=13200,360,IF(Y116&gt;=12210,330,IF(Y116&gt;=11010,300,IF(Y116&gt;=9930,270,IF(Y116&gt;=9430,250,240))))),Y119)</f>
        <v>360</v>
      </c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S120" s="127"/>
      <c r="AT120" s="127"/>
      <c r="AU120" s="127"/>
      <c r="AV120" s="127"/>
      <c r="AW120" s="127"/>
      <c r="AX120" s="127"/>
      <c r="AY120" s="127"/>
      <c r="AZ120" s="127"/>
      <c r="BA120" s="127"/>
      <c r="BB120" s="127"/>
      <c r="BC120" s="127"/>
      <c r="BD120" s="127"/>
      <c r="BE120" s="127"/>
      <c r="BF120" s="127"/>
      <c r="BG120" s="127"/>
      <c r="BH120" s="127"/>
      <c r="BI120" s="127"/>
    </row>
    <row r="121" spans="7:61" ht="15.75" hidden="1">
      <c r="G121" s="34"/>
      <c r="H121" s="39">
        <f aca="true" t="shared" si="91" ref="H121:N121">IF(H122&gt;=H115,H115-1,H122)</f>
        <v>12870</v>
      </c>
      <c r="I121" s="39">
        <f t="shared" si="91"/>
        <v>13200</v>
      </c>
      <c r="J121" s="39">
        <f t="shared" si="91"/>
        <v>13200</v>
      </c>
      <c r="K121" s="39">
        <f t="shared" si="91"/>
        <v>13560</v>
      </c>
      <c r="L121" s="39">
        <f t="shared" si="91"/>
        <v>13560</v>
      </c>
      <c r="M121" s="39">
        <f t="shared" si="91"/>
        <v>13920</v>
      </c>
      <c r="N121" s="39">
        <f t="shared" si="91"/>
        <v>13920</v>
      </c>
      <c r="O121" s="39">
        <f>IF(O122&gt;=O115,O115-1,O122)</f>
        <v>14280</v>
      </c>
      <c r="P121" s="39">
        <f>IF(P122&gt;=P115,P115-1,P122)</f>
        <v>14280</v>
      </c>
      <c r="Q121" s="39">
        <f>IF(Q122&gt;=Q115,Q115-1,Q122)</f>
        <v>13560</v>
      </c>
      <c r="R121" s="39"/>
      <c r="S121" s="39"/>
      <c r="T121" s="39"/>
      <c r="U121" s="39"/>
      <c r="V121" s="39"/>
      <c r="X121" s="39">
        <f>IF(X122&gt;=X115,X115-1,X122)</f>
        <v>14280</v>
      </c>
      <c r="Y121" s="39">
        <f>IF(Y122&gt;=Y115,Y115-1,Y122)</f>
        <v>14640</v>
      </c>
      <c r="Z121" s="39"/>
      <c r="AA121" s="39"/>
      <c r="AB121" s="39"/>
      <c r="AC121" s="39"/>
      <c r="AD121" s="39"/>
      <c r="AE121" s="44"/>
      <c r="AF121" s="44"/>
      <c r="AG121" s="39"/>
      <c r="AH121" s="39"/>
      <c r="AI121" s="39"/>
      <c r="AJ121" s="39"/>
      <c r="AS121" s="127"/>
      <c r="AT121" s="127"/>
      <c r="AU121" s="127"/>
      <c r="AV121" s="127"/>
      <c r="AW121" s="127"/>
      <c r="AX121" s="127"/>
      <c r="AY121" s="127"/>
      <c r="AZ121" s="127"/>
      <c r="BA121" s="127"/>
      <c r="BB121" s="127"/>
      <c r="BC121" s="127"/>
      <c r="BD121" s="127"/>
      <c r="BE121" s="127"/>
      <c r="BF121" s="127"/>
      <c r="BG121" s="127"/>
      <c r="BH121" s="127"/>
      <c r="BI121" s="127"/>
    </row>
    <row r="122" spans="6:61" ht="15.75" hidden="1">
      <c r="F122" s="319" t="s">
        <v>172</v>
      </c>
      <c r="G122" s="319"/>
      <c r="H122" s="39">
        <f aca="true" t="shared" si="92" ref="H122:N122">H117+H120</f>
        <v>12870</v>
      </c>
      <c r="I122" s="39">
        <f t="shared" si="92"/>
        <v>13200</v>
      </c>
      <c r="J122" s="39">
        <f t="shared" si="92"/>
        <v>13200</v>
      </c>
      <c r="K122" s="39">
        <f t="shared" si="92"/>
        <v>13560</v>
      </c>
      <c r="L122" s="39">
        <f t="shared" si="92"/>
        <v>13560</v>
      </c>
      <c r="M122" s="39">
        <f t="shared" si="92"/>
        <v>13920</v>
      </c>
      <c r="N122" s="39">
        <f t="shared" si="92"/>
        <v>13920</v>
      </c>
      <c r="O122" s="39">
        <f>O117+O120</f>
        <v>14280</v>
      </c>
      <c r="P122" s="39">
        <f>P117+P120</f>
        <v>14280</v>
      </c>
      <c r="Q122" s="39">
        <f>Q117+Q120</f>
        <v>13560</v>
      </c>
      <c r="R122" s="39"/>
      <c r="S122" s="39"/>
      <c r="T122" s="39"/>
      <c r="U122" s="39"/>
      <c r="V122" s="39"/>
      <c r="X122" s="39">
        <f>X117+X120</f>
        <v>14280</v>
      </c>
      <c r="Y122" s="39">
        <f>Y117+Y120</f>
        <v>14640</v>
      </c>
      <c r="Z122" s="39"/>
      <c r="AA122" s="39"/>
      <c r="AB122" s="39"/>
      <c r="AC122" s="39"/>
      <c r="AD122" s="39"/>
      <c r="AE122" s="45"/>
      <c r="AF122" s="45"/>
      <c r="AG122" s="39"/>
      <c r="AH122" s="39"/>
      <c r="AI122" s="39"/>
      <c r="AJ122" s="39"/>
      <c r="AS122" s="127"/>
      <c r="AT122" s="127"/>
      <c r="AU122" s="127"/>
      <c r="AV122" s="127"/>
      <c r="AW122" s="127"/>
      <c r="AX122" s="127"/>
      <c r="AY122" s="127"/>
      <c r="AZ122" s="127"/>
      <c r="BA122" s="127"/>
      <c r="BB122" s="127"/>
      <c r="BC122" s="127"/>
      <c r="BD122" s="127"/>
      <c r="BE122" s="127"/>
      <c r="BF122" s="127"/>
      <c r="BG122" s="127"/>
      <c r="BH122" s="127"/>
      <c r="BI122" s="127"/>
    </row>
    <row r="123" spans="6:61" ht="15" customHeight="1" hidden="1">
      <c r="F123" s="280" t="s">
        <v>171</v>
      </c>
      <c r="G123" s="280"/>
      <c r="H123" s="43" t="str">
        <f>IF(H121&gt;=59250,1400,IF(H121&gt;=54050,1300,IF(H121&gt;=49250,1200,IF(H121&gt;=43750,1100,IF(H121&gt;=39750,1000,IF(H121&gt;=36110,910,IF(H121&gt;=32750,840,"X")))))))</f>
        <v>X</v>
      </c>
      <c r="I123" s="43" t="str">
        <f aca="true" t="shared" si="93" ref="I123:N123">IF(I121&gt;=59250,1400,IF(I121&gt;=54050,1300,IF(I121&gt;=49250,1200,IF(I121&gt;=43750,1100,IF(I121&gt;=39750,1000,IF(I121&gt;=36110,910,IF(I121&gt;=32750,840,"X")))))))</f>
        <v>X</v>
      </c>
      <c r="J123" s="43" t="str">
        <f t="shared" si="93"/>
        <v>X</v>
      </c>
      <c r="K123" s="43" t="str">
        <f t="shared" si="93"/>
        <v>X</v>
      </c>
      <c r="L123" s="43" t="str">
        <f t="shared" si="93"/>
        <v>X</v>
      </c>
      <c r="M123" s="43" t="str">
        <f t="shared" si="93"/>
        <v>X</v>
      </c>
      <c r="N123" s="43" t="str">
        <f t="shared" si="93"/>
        <v>X</v>
      </c>
      <c r="O123" s="43" t="str">
        <f>IF(O121&gt;=59250,1400,IF(O121&gt;=54050,1300,IF(O121&gt;=49250,1200,IF(O121&gt;=43750,1100,IF(O121&gt;=39750,1000,IF(O121&gt;=36110,910,IF(O121&gt;=32750,840,"X")))))))</f>
        <v>X</v>
      </c>
      <c r="P123" s="43" t="str">
        <f>IF(P121&gt;=59250,1400,IF(P121&gt;=54050,1300,IF(P121&gt;=49250,1200,IF(P121&gt;=43750,1100,IF(P121&gt;=39750,1000,IF(P121&gt;=36110,910,IF(P121&gt;=32750,840,"X")))))))</f>
        <v>X</v>
      </c>
      <c r="Q123" s="43" t="str">
        <f>IF(Q121&gt;=59250,1400,IF(Q121&gt;=54050,1300,IF(Q121&gt;=49250,1200,IF(Q121&gt;=43750,1100,IF(Q121&gt;=39750,1000,IF(Q121&gt;=36110,910,IF(Q121&gt;=32750,840,"X")))))))</f>
        <v>X</v>
      </c>
      <c r="R123" s="43"/>
      <c r="S123" s="43"/>
      <c r="T123" s="43"/>
      <c r="U123" s="43"/>
      <c r="V123" s="43"/>
      <c r="X123" s="43" t="str">
        <f>IF(X121&gt;=59250,1400,IF(X121&gt;=54050,1300,IF(X121&gt;=49250,1200,IF(X121&gt;=43750,1100,IF(X121&gt;=39750,1000,IF(X121&gt;=36110,910,IF(X121&gt;=32750,840,"X")))))))</f>
        <v>X</v>
      </c>
      <c r="Y123" s="43" t="str">
        <f>IF(Y121&gt;=59250,1400,IF(Y121&gt;=54050,1300,IF(Y121&gt;=49250,1200,IF(Y121&gt;=43750,1100,IF(Y121&gt;=39750,1000,IF(Y121&gt;=36110,910,IF(Y121&gt;=32750,840,"X")))))))</f>
        <v>X</v>
      </c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S123" s="127"/>
      <c r="AT123" s="127"/>
      <c r="AU123" s="127"/>
      <c r="AV123" s="127"/>
      <c r="AW123" s="127"/>
      <c r="AX123" s="127"/>
      <c r="AY123" s="127"/>
      <c r="AZ123" s="127"/>
      <c r="BA123" s="127"/>
      <c r="BB123" s="127"/>
      <c r="BC123" s="127"/>
      <c r="BD123" s="127"/>
      <c r="BE123" s="127"/>
      <c r="BF123" s="127"/>
      <c r="BG123" s="127"/>
      <c r="BH123" s="127"/>
      <c r="BI123" s="127"/>
    </row>
    <row r="124" spans="7:61" ht="15" hidden="1">
      <c r="G124" s="34"/>
      <c r="H124" s="43" t="str">
        <f>IF(H123="x",IF(H121&gt;=29670,770,IF(H121&gt;=26870,700,IF(H121&gt;=23720,630,IF(H121&gt;=21440,570,IF(H121&gt;=18440,500,IF(H121&gt;=16640,450,IF(H121&gt;=14640,400,"x"))))))),H123)</f>
        <v>x</v>
      </c>
      <c r="I124" s="43" t="str">
        <f aca="true" t="shared" si="94" ref="I124:N124">IF(I123="x",IF(I121&gt;=29670,770,IF(I121&gt;=26870,700,IF(I121&gt;=23720,630,IF(I121&gt;=21440,570,IF(I121&gt;=18440,500,IF(I121&gt;=16640,450,IF(I121&gt;=14640,400,"x"))))))),I123)</f>
        <v>x</v>
      </c>
      <c r="J124" s="43" t="str">
        <f t="shared" si="94"/>
        <v>x</v>
      </c>
      <c r="K124" s="43" t="str">
        <f t="shared" si="94"/>
        <v>x</v>
      </c>
      <c r="L124" s="43" t="str">
        <f t="shared" si="94"/>
        <v>x</v>
      </c>
      <c r="M124" s="43" t="str">
        <f t="shared" si="94"/>
        <v>x</v>
      </c>
      <c r="N124" s="43" t="str">
        <f t="shared" si="94"/>
        <v>x</v>
      </c>
      <c r="O124" s="43" t="str">
        <f>IF(O123="x",IF(O121&gt;=29670,770,IF(O121&gt;=26870,700,IF(O121&gt;=23720,630,IF(O121&gt;=21440,570,IF(O121&gt;=18440,500,IF(O121&gt;=16640,450,IF(O121&gt;=14640,400,"x"))))))),O123)</f>
        <v>x</v>
      </c>
      <c r="P124" s="43" t="str">
        <f>IF(P123="x",IF(P121&gt;=29670,770,IF(P121&gt;=26870,700,IF(P121&gt;=23720,630,IF(P121&gt;=21440,570,IF(P121&gt;=18440,500,IF(P121&gt;=16640,450,IF(P121&gt;=14640,400,"x"))))))),P123)</f>
        <v>x</v>
      </c>
      <c r="Q124" s="43" t="str">
        <f>IF(Q123="x",IF(Q121&gt;=29670,770,IF(Q121&gt;=26870,700,IF(Q121&gt;=23720,630,IF(Q121&gt;=21440,570,IF(Q121&gt;=18440,500,IF(Q121&gt;=16640,450,IF(Q121&gt;=14640,400,"x"))))))),Q123)</f>
        <v>x</v>
      </c>
      <c r="R124" s="43"/>
      <c r="S124" s="43"/>
      <c r="T124" s="43"/>
      <c r="U124" s="43"/>
      <c r="V124" s="43"/>
      <c r="X124" s="43" t="str">
        <f>IF(X123="x",IF(X121&gt;=29670,770,IF(X121&gt;=26870,700,IF(X121&gt;=23720,630,IF(X121&gt;=21440,570,IF(X121&gt;=18440,500,IF(X121&gt;=16640,450,IF(X121&gt;=14640,400,"x"))))))),X123)</f>
        <v>x</v>
      </c>
      <c r="Y124" s="43">
        <f>IF(Y123="x",IF(Y121&gt;=29670,770,IF(Y121&gt;=26870,700,IF(Y121&gt;=23720,630,IF(Y121&gt;=21440,570,IF(Y121&gt;=18440,500,IF(Y121&gt;=16640,450,IF(Y121&gt;=14640,400,"x"))))))),Y123)</f>
        <v>400</v>
      </c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S124" s="127"/>
      <c r="AT124" s="127"/>
      <c r="AU124" s="127"/>
      <c r="AV124" s="127"/>
      <c r="AW124" s="127"/>
      <c r="AX124" s="127"/>
      <c r="AY124" s="127"/>
      <c r="AZ124" s="127"/>
      <c r="BA124" s="127"/>
      <c r="BB124" s="127"/>
      <c r="BC124" s="127"/>
      <c r="BD124" s="127"/>
      <c r="BE124" s="127"/>
      <c r="BF124" s="127"/>
      <c r="BG124" s="127"/>
      <c r="BH124" s="127"/>
      <c r="BI124" s="127"/>
    </row>
    <row r="125" spans="7:61" ht="15.75" hidden="1">
      <c r="G125" s="34"/>
      <c r="H125" s="44">
        <f aca="true" t="shared" si="95" ref="H125:N125">IF(H124="x",IF(H121&gt;=13200,360,IF(H121&gt;=12210,330,IF(H121&gt;=11010,300,IF(H121&gt;=9930,270,IF(H121&gt;=9430,250,240))))),H124)</f>
        <v>330</v>
      </c>
      <c r="I125" s="44">
        <f t="shared" si="95"/>
        <v>360</v>
      </c>
      <c r="J125" s="44">
        <f t="shared" si="95"/>
        <v>360</v>
      </c>
      <c r="K125" s="44">
        <f t="shared" si="95"/>
        <v>360</v>
      </c>
      <c r="L125" s="44">
        <f t="shared" si="95"/>
        <v>360</v>
      </c>
      <c r="M125" s="44">
        <f t="shared" si="95"/>
        <v>360</v>
      </c>
      <c r="N125" s="44">
        <f t="shared" si="95"/>
        <v>360</v>
      </c>
      <c r="O125" s="44">
        <f>IF(O124="x",IF(O121&gt;=13200,360,IF(O121&gt;=12210,330,IF(O121&gt;=11010,300,IF(O121&gt;=9930,270,IF(O121&gt;=9430,250,240))))),O124)</f>
        <v>360</v>
      </c>
      <c r="P125" s="44">
        <f>IF(P124="x",IF(P121&gt;=13200,360,IF(P121&gt;=12210,330,IF(P121&gt;=11010,300,IF(P121&gt;=9930,270,IF(P121&gt;=9430,250,240))))),P124)</f>
        <v>360</v>
      </c>
      <c r="Q125" s="44">
        <f>IF(Q124="x",IF(Q121&gt;=13200,360,IF(Q121&gt;=12210,330,IF(Q121&gt;=11010,300,IF(Q121&gt;=9930,270,IF(Q121&gt;=9430,250,240))))),Q124)</f>
        <v>360</v>
      </c>
      <c r="R125" s="44"/>
      <c r="S125" s="44"/>
      <c r="T125" s="44"/>
      <c r="U125" s="44"/>
      <c r="V125" s="44"/>
      <c r="X125" s="44">
        <f>IF(X124="x",IF(X121&gt;=13200,360,IF(X121&gt;=12210,330,IF(X121&gt;=11010,300,IF(X121&gt;=9930,270,IF(X121&gt;=9430,250,240))))),X124)</f>
        <v>360</v>
      </c>
      <c r="Y125" s="44">
        <f>IF(Y124="x",IF(Y121&gt;=13200,360,IF(Y121&gt;=12210,330,IF(Y121&gt;=11010,300,IF(Y121&gt;=9930,270,IF(Y121&gt;=9430,250,240))))),Y124)</f>
        <v>400</v>
      </c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S125" s="127"/>
      <c r="AT125" s="127"/>
      <c r="AU125" s="127"/>
      <c r="AV125" s="127"/>
      <c r="AW125" s="127"/>
      <c r="AX125" s="127"/>
      <c r="AY125" s="127"/>
      <c r="AZ125" s="127"/>
      <c r="BA125" s="127"/>
      <c r="BB125" s="127"/>
      <c r="BC125" s="127"/>
      <c r="BD125" s="127"/>
      <c r="BE125" s="127"/>
      <c r="BF125" s="127"/>
      <c r="BG125" s="127"/>
      <c r="BH125" s="127"/>
      <c r="BI125" s="127"/>
    </row>
    <row r="126" spans="7:61" ht="15" hidden="1">
      <c r="G126" s="34"/>
      <c r="H126" s="39">
        <f aca="true" t="shared" si="96" ref="H126:N126">IF(H127&gt;=H115,H115-1,H127)</f>
        <v>13200</v>
      </c>
      <c r="I126" s="39">
        <f t="shared" si="96"/>
        <v>13560</v>
      </c>
      <c r="J126" s="39">
        <f t="shared" si="96"/>
        <v>13560</v>
      </c>
      <c r="K126" s="39">
        <f t="shared" si="96"/>
        <v>13920</v>
      </c>
      <c r="L126" s="39">
        <f t="shared" si="96"/>
        <v>13920</v>
      </c>
      <c r="M126" s="39">
        <f t="shared" si="96"/>
        <v>14280</v>
      </c>
      <c r="N126" s="39">
        <f t="shared" si="96"/>
        <v>14280</v>
      </c>
      <c r="O126" s="39">
        <f>IF(O127&gt;=O115,O115-1,O127)</f>
        <v>14640</v>
      </c>
      <c r="P126" s="39">
        <f>IF(P127&gt;=P115,P115-1,P127)</f>
        <v>14640</v>
      </c>
      <c r="Q126" s="39">
        <f>IF(Q127&gt;=Q115,Q115-1,Q127)</f>
        <v>13920</v>
      </c>
      <c r="R126" s="39"/>
      <c r="S126" s="39"/>
      <c r="T126" s="39"/>
      <c r="U126" s="39"/>
      <c r="V126" s="39"/>
      <c r="X126" s="39">
        <f>IF(X127&gt;=X115,X115-1,X127)</f>
        <v>14640</v>
      </c>
      <c r="Y126" s="39">
        <f>IF(Y127&gt;=Y115,Y115-1,Y127)</f>
        <v>15040</v>
      </c>
      <c r="Z126" s="39"/>
      <c r="AA126" s="39"/>
      <c r="AB126" s="39"/>
      <c r="AC126" s="39"/>
      <c r="AD126" s="39"/>
      <c r="AE126" s="31"/>
      <c r="AF126" s="31"/>
      <c r="AG126" s="39"/>
      <c r="AH126" s="39"/>
      <c r="AI126" s="39"/>
      <c r="AJ126" s="39"/>
      <c r="AS126" s="127"/>
      <c r="AT126" s="127"/>
      <c r="AU126" s="127"/>
      <c r="AV126" s="127"/>
      <c r="AW126" s="127"/>
      <c r="AX126" s="127"/>
      <c r="AY126" s="127"/>
      <c r="AZ126" s="127"/>
      <c r="BA126" s="127"/>
      <c r="BB126" s="127"/>
      <c r="BC126" s="127"/>
      <c r="BD126" s="127"/>
      <c r="BE126" s="127"/>
      <c r="BF126" s="127"/>
      <c r="BG126" s="127"/>
      <c r="BH126" s="127"/>
      <c r="BI126" s="127"/>
    </row>
    <row r="127" spans="6:61" ht="15" hidden="1">
      <c r="F127" s="319" t="s">
        <v>173</v>
      </c>
      <c r="G127" s="319"/>
      <c r="H127" s="39">
        <f aca="true" t="shared" si="97" ref="H127:N127">H122+H125</f>
        <v>13200</v>
      </c>
      <c r="I127" s="39">
        <f t="shared" si="97"/>
        <v>13560</v>
      </c>
      <c r="J127" s="39">
        <f t="shared" si="97"/>
        <v>13560</v>
      </c>
      <c r="K127" s="39">
        <f t="shared" si="97"/>
        <v>13920</v>
      </c>
      <c r="L127" s="39">
        <f t="shared" si="97"/>
        <v>13920</v>
      </c>
      <c r="M127" s="39">
        <f t="shared" si="97"/>
        <v>14280</v>
      </c>
      <c r="N127" s="39">
        <f t="shared" si="97"/>
        <v>14280</v>
      </c>
      <c r="O127" s="39">
        <f>O122+O125</f>
        <v>14640</v>
      </c>
      <c r="P127" s="39">
        <f>P122+P125</f>
        <v>14640</v>
      </c>
      <c r="Q127" s="39">
        <f>Q122+Q125</f>
        <v>13920</v>
      </c>
      <c r="R127" s="39"/>
      <c r="S127" s="39"/>
      <c r="T127" s="39"/>
      <c r="U127" s="39"/>
      <c r="V127" s="39"/>
      <c r="X127" s="39">
        <f>X122+X125</f>
        <v>14640</v>
      </c>
      <c r="Y127" s="39">
        <f>Y122+Y125</f>
        <v>15040</v>
      </c>
      <c r="Z127" s="39"/>
      <c r="AA127" s="39"/>
      <c r="AB127" s="39"/>
      <c r="AC127" s="39"/>
      <c r="AD127" s="39"/>
      <c r="AE127" s="29"/>
      <c r="AF127" s="31"/>
      <c r="AG127" s="39"/>
      <c r="AH127" s="39"/>
      <c r="AI127" s="39"/>
      <c r="AJ127" s="39"/>
      <c r="AS127" s="127"/>
      <c r="AT127" s="127"/>
      <c r="AU127" s="127"/>
      <c r="AV127" s="127"/>
      <c r="AW127" s="127"/>
      <c r="AX127" s="127"/>
      <c r="AY127" s="127"/>
      <c r="AZ127" s="127"/>
      <c r="BA127" s="127"/>
      <c r="BB127" s="127"/>
      <c r="BC127" s="127"/>
      <c r="BD127" s="127"/>
      <c r="BE127" s="127"/>
      <c r="BF127" s="127"/>
      <c r="BG127" s="127"/>
      <c r="BH127" s="127"/>
      <c r="BI127" s="127"/>
    </row>
    <row r="128" spans="6:61" ht="15" customHeight="1" hidden="1">
      <c r="F128" s="280" t="s">
        <v>171</v>
      </c>
      <c r="G128" s="280"/>
      <c r="H128" s="43" t="str">
        <f>IF(H126&gt;=59250,1400,IF(H126&gt;=54050,1300,IF(H126&gt;=49250,1200,IF(H126&gt;=43750,1100,IF(H126&gt;=39750,1000,IF(H126&gt;=36110,910,IF(H126&gt;=32750,840,"X")))))))</f>
        <v>X</v>
      </c>
      <c r="I128" s="43" t="str">
        <f aca="true" t="shared" si="98" ref="I128:N128">IF(I126&gt;=59250,1400,IF(I126&gt;=54050,1300,IF(I126&gt;=49250,1200,IF(I126&gt;=43750,1100,IF(I126&gt;=39750,1000,IF(I126&gt;=36110,910,IF(I126&gt;=32750,840,"X")))))))</f>
        <v>X</v>
      </c>
      <c r="J128" s="43" t="str">
        <f t="shared" si="98"/>
        <v>X</v>
      </c>
      <c r="K128" s="43" t="str">
        <f t="shared" si="98"/>
        <v>X</v>
      </c>
      <c r="L128" s="43" t="str">
        <f t="shared" si="98"/>
        <v>X</v>
      </c>
      <c r="M128" s="43" t="str">
        <f t="shared" si="98"/>
        <v>X</v>
      </c>
      <c r="N128" s="43" t="str">
        <f t="shared" si="98"/>
        <v>X</v>
      </c>
      <c r="O128" s="43" t="str">
        <f>IF(O126&gt;=59250,1400,IF(O126&gt;=54050,1300,IF(O126&gt;=49250,1200,IF(O126&gt;=43750,1100,IF(O126&gt;=39750,1000,IF(O126&gt;=36110,910,IF(O126&gt;=32750,840,"X")))))))</f>
        <v>X</v>
      </c>
      <c r="P128" s="43" t="str">
        <f>IF(P126&gt;=59250,1400,IF(P126&gt;=54050,1300,IF(P126&gt;=49250,1200,IF(P126&gt;=43750,1100,IF(P126&gt;=39750,1000,IF(P126&gt;=36110,910,IF(P126&gt;=32750,840,"X")))))))</f>
        <v>X</v>
      </c>
      <c r="Q128" s="43" t="str">
        <f>IF(Q126&gt;=59250,1400,IF(Q126&gt;=54050,1300,IF(Q126&gt;=49250,1200,IF(Q126&gt;=43750,1100,IF(Q126&gt;=39750,1000,IF(Q126&gt;=36110,910,IF(Q126&gt;=32750,840,"X")))))))</f>
        <v>X</v>
      </c>
      <c r="R128" s="43"/>
      <c r="S128" s="43"/>
      <c r="T128" s="43"/>
      <c r="U128" s="43"/>
      <c r="V128" s="43"/>
      <c r="X128" s="43" t="str">
        <f>IF(X126&gt;=59250,1400,IF(X126&gt;=54050,1300,IF(X126&gt;=49250,1200,IF(X126&gt;=43750,1100,IF(X126&gt;=39750,1000,IF(X126&gt;=36110,910,IF(X126&gt;=32750,840,"X")))))))</f>
        <v>X</v>
      </c>
      <c r="Y128" s="43" t="str">
        <f>IF(Y126&gt;=59250,1400,IF(Y126&gt;=54050,1300,IF(Y126&gt;=49250,1200,IF(Y126&gt;=43750,1100,IF(Y126&gt;=39750,1000,IF(Y126&gt;=36110,910,IF(Y126&gt;=32750,840,"X")))))))</f>
        <v>X</v>
      </c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S128" s="127"/>
      <c r="AT128" s="127"/>
      <c r="AU128" s="127"/>
      <c r="AV128" s="127"/>
      <c r="AW128" s="127"/>
      <c r="AX128" s="127"/>
      <c r="AY128" s="127"/>
      <c r="AZ128" s="127"/>
      <c r="BA128" s="127"/>
      <c r="BB128" s="127"/>
      <c r="BC128" s="127"/>
      <c r="BD128" s="127"/>
      <c r="BE128" s="127"/>
      <c r="BF128" s="127"/>
      <c r="BG128" s="127"/>
      <c r="BH128" s="127"/>
      <c r="BI128" s="127"/>
    </row>
    <row r="129" spans="7:61" ht="15" hidden="1">
      <c r="G129" s="34"/>
      <c r="H129" s="43" t="str">
        <f>IF(H128="x",IF(H126&gt;=29670,770,IF(H126&gt;=26870,700,IF(H126&gt;=23720,630,IF(H126&gt;=21440,570,IF(H126&gt;=18440,500,IF(H126&gt;=16640,450,IF(H126&gt;=14640,400,"x"))))))),H128)</f>
        <v>x</v>
      </c>
      <c r="I129" s="43" t="str">
        <f aca="true" t="shared" si="99" ref="I129:N129">IF(I128="x",IF(I126&gt;=29670,770,IF(I126&gt;=26870,700,IF(I126&gt;=23720,630,IF(I126&gt;=21440,570,IF(I126&gt;=18440,500,IF(I126&gt;=16640,450,IF(I126&gt;=14640,400,"x"))))))),I128)</f>
        <v>x</v>
      </c>
      <c r="J129" s="43" t="str">
        <f t="shared" si="99"/>
        <v>x</v>
      </c>
      <c r="K129" s="43" t="str">
        <f t="shared" si="99"/>
        <v>x</v>
      </c>
      <c r="L129" s="43" t="str">
        <f t="shared" si="99"/>
        <v>x</v>
      </c>
      <c r="M129" s="43" t="str">
        <f t="shared" si="99"/>
        <v>x</v>
      </c>
      <c r="N129" s="43" t="str">
        <f t="shared" si="99"/>
        <v>x</v>
      </c>
      <c r="O129" s="43">
        <f>IF(O128="x",IF(O126&gt;=29670,770,IF(O126&gt;=26870,700,IF(O126&gt;=23720,630,IF(O126&gt;=21440,570,IF(O126&gt;=18440,500,IF(O126&gt;=16640,450,IF(O126&gt;=14640,400,"x"))))))),O128)</f>
        <v>400</v>
      </c>
      <c r="P129" s="43">
        <f>IF(P128="x",IF(P126&gt;=29670,770,IF(P126&gt;=26870,700,IF(P126&gt;=23720,630,IF(P126&gt;=21440,570,IF(P126&gt;=18440,500,IF(P126&gt;=16640,450,IF(P126&gt;=14640,400,"x"))))))),P128)</f>
        <v>400</v>
      </c>
      <c r="Q129" s="43" t="str">
        <f>IF(Q128="x",IF(Q126&gt;=29670,770,IF(Q126&gt;=26870,700,IF(Q126&gt;=23720,630,IF(Q126&gt;=21440,570,IF(Q126&gt;=18440,500,IF(Q126&gt;=16640,450,IF(Q126&gt;=14640,400,"x"))))))),Q128)</f>
        <v>x</v>
      </c>
      <c r="R129" s="43"/>
      <c r="S129" s="43"/>
      <c r="T129" s="43"/>
      <c r="U129" s="43"/>
      <c r="V129" s="43"/>
      <c r="X129" s="43">
        <f>IF(X128="x",IF(X126&gt;=29670,770,IF(X126&gt;=26870,700,IF(X126&gt;=23720,630,IF(X126&gt;=21440,570,IF(X126&gt;=18440,500,IF(X126&gt;=16640,450,IF(X126&gt;=14640,400,"x"))))))),X128)</f>
        <v>400</v>
      </c>
      <c r="Y129" s="43">
        <f>IF(Y128="x",IF(Y126&gt;=29670,770,IF(Y126&gt;=26870,700,IF(Y126&gt;=23720,630,IF(Y126&gt;=21440,570,IF(Y126&gt;=18440,500,IF(Y126&gt;=16640,450,IF(Y126&gt;=14640,400,"x"))))))),Y128)</f>
        <v>400</v>
      </c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S129" s="127"/>
      <c r="AT129" s="127"/>
      <c r="AU129" s="127"/>
      <c r="AV129" s="127"/>
      <c r="AW129" s="127"/>
      <c r="AX129" s="127"/>
      <c r="AY129" s="127"/>
      <c r="AZ129" s="127"/>
      <c r="BA129" s="127"/>
      <c r="BB129" s="127"/>
      <c r="BC129" s="127"/>
      <c r="BD129" s="127"/>
      <c r="BE129" s="127"/>
      <c r="BF129" s="127"/>
      <c r="BG129" s="127"/>
      <c r="BH129" s="127"/>
      <c r="BI129" s="127"/>
    </row>
    <row r="130" spans="7:61" ht="15.75" hidden="1">
      <c r="G130" s="34"/>
      <c r="H130" s="44">
        <f aca="true" t="shared" si="100" ref="H130:N130">IF(H129="x",IF(H126&gt;=13200,360,IF(H126&gt;=12210,330,IF(H126&gt;=11010,300,IF(H126&gt;=9930,270,IF(H126&gt;=9430,250,240))))),H129)</f>
        <v>360</v>
      </c>
      <c r="I130" s="44">
        <f t="shared" si="100"/>
        <v>360</v>
      </c>
      <c r="J130" s="44">
        <f t="shared" si="100"/>
        <v>360</v>
      </c>
      <c r="K130" s="44">
        <f t="shared" si="100"/>
        <v>360</v>
      </c>
      <c r="L130" s="44">
        <f t="shared" si="100"/>
        <v>360</v>
      </c>
      <c r="M130" s="44">
        <f t="shared" si="100"/>
        <v>360</v>
      </c>
      <c r="N130" s="44">
        <f t="shared" si="100"/>
        <v>360</v>
      </c>
      <c r="O130" s="44">
        <f>IF(O129="x",IF(O126&gt;=13200,360,IF(O126&gt;=12210,330,IF(O126&gt;=11010,300,IF(O126&gt;=9930,270,IF(O126&gt;=9430,250,240))))),O129)</f>
        <v>400</v>
      </c>
      <c r="P130" s="44">
        <f>IF(P129="x",IF(P126&gt;=13200,360,IF(P126&gt;=12210,330,IF(P126&gt;=11010,300,IF(P126&gt;=9930,270,IF(P126&gt;=9430,250,240))))),P129)</f>
        <v>400</v>
      </c>
      <c r="Q130" s="44">
        <f>IF(Q129="x",IF(Q126&gt;=13200,360,IF(Q126&gt;=12210,330,IF(Q126&gt;=11010,300,IF(Q126&gt;=9930,270,IF(Q126&gt;=9430,250,240))))),Q129)</f>
        <v>360</v>
      </c>
      <c r="R130" s="44"/>
      <c r="S130" s="44"/>
      <c r="T130" s="44"/>
      <c r="U130" s="44"/>
      <c r="V130" s="44"/>
      <c r="X130" s="44">
        <f>IF(X129="x",IF(X126&gt;=13200,360,IF(X126&gt;=12210,330,IF(X126&gt;=11010,300,IF(X126&gt;=9930,270,IF(X126&gt;=9430,250,240))))),X129)</f>
        <v>400</v>
      </c>
      <c r="Y130" s="44">
        <f>IF(Y129="x",IF(Y126&gt;=13200,360,IF(Y126&gt;=12210,330,IF(Y126&gt;=11010,300,IF(Y126&gt;=9930,270,IF(Y126&gt;=9430,250,240))))),Y129)</f>
        <v>400</v>
      </c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S130" s="127"/>
      <c r="AT130" s="127"/>
      <c r="AU130" s="127"/>
      <c r="AV130" s="127"/>
      <c r="AW130" s="127"/>
      <c r="AX130" s="127"/>
      <c r="AY130" s="127"/>
      <c r="AZ130" s="127"/>
      <c r="BA130" s="127"/>
      <c r="BB130" s="127"/>
      <c r="BC130" s="127"/>
      <c r="BD130" s="127"/>
      <c r="BE130" s="127"/>
      <c r="BF130" s="127"/>
      <c r="BG130" s="127"/>
      <c r="BH130" s="127"/>
      <c r="BI130" s="127"/>
    </row>
    <row r="131" spans="7:61" ht="15" hidden="1">
      <c r="G131" s="34"/>
      <c r="H131" s="39">
        <f aca="true" t="shared" si="101" ref="H131:N131">IF(H132&gt;=H115,H115-1,H132)</f>
        <v>13560</v>
      </c>
      <c r="I131" s="39">
        <f t="shared" si="101"/>
        <v>13920</v>
      </c>
      <c r="J131" s="39">
        <f t="shared" si="101"/>
        <v>13920</v>
      </c>
      <c r="K131" s="39">
        <f t="shared" si="101"/>
        <v>14280</v>
      </c>
      <c r="L131" s="39">
        <f t="shared" si="101"/>
        <v>14280</v>
      </c>
      <c r="M131" s="39">
        <f t="shared" si="101"/>
        <v>14640</v>
      </c>
      <c r="N131" s="39">
        <f t="shared" si="101"/>
        <v>14640</v>
      </c>
      <c r="O131" s="39">
        <f>IF(O132&gt;=O115,O115-1,O132)</f>
        <v>15040</v>
      </c>
      <c r="P131" s="39">
        <f>IF(P132&gt;=P115,P115-1,P132)</f>
        <v>15040</v>
      </c>
      <c r="Q131" s="39">
        <f>IF(Q132&gt;=Q115,Q115-1,Q132)</f>
        <v>14280</v>
      </c>
      <c r="R131" s="39"/>
      <c r="S131" s="39"/>
      <c r="T131" s="39"/>
      <c r="U131" s="39"/>
      <c r="V131" s="39"/>
      <c r="X131" s="39">
        <f>IF(X132&gt;=X115,X115-1,X132)</f>
        <v>15040</v>
      </c>
      <c r="Y131" s="39">
        <f>IF(Y132&gt;=Y115,Y115-1,Y132)</f>
        <v>15440</v>
      </c>
      <c r="Z131" s="39"/>
      <c r="AA131" s="39"/>
      <c r="AB131" s="39"/>
      <c r="AC131" s="39"/>
      <c r="AD131" s="39"/>
      <c r="AE131" s="49"/>
      <c r="AF131" s="49"/>
      <c r="AG131" s="39"/>
      <c r="AH131" s="39"/>
      <c r="AI131" s="39"/>
      <c r="AJ131" s="39"/>
      <c r="AS131" s="127"/>
      <c r="AT131" s="127"/>
      <c r="AU131" s="127"/>
      <c r="AV131" s="127"/>
      <c r="AW131" s="127"/>
      <c r="AX131" s="127"/>
      <c r="AY131" s="127"/>
      <c r="AZ131" s="127"/>
      <c r="BA131" s="127"/>
      <c r="BB131" s="127"/>
      <c r="BC131" s="127"/>
      <c r="BD131" s="127"/>
      <c r="BE131" s="127"/>
      <c r="BF131" s="127"/>
      <c r="BG131" s="127"/>
      <c r="BH131" s="127"/>
      <c r="BI131" s="127"/>
    </row>
    <row r="132" spans="6:61" ht="15" hidden="1">
      <c r="F132" s="319" t="s">
        <v>174</v>
      </c>
      <c r="G132" s="319"/>
      <c r="H132" s="39">
        <f aca="true" t="shared" si="102" ref="H132:N132">H127+H130</f>
        <v>13560</v>
      </c>
      <c r="I132" s="39">
        <f t="shared" si="102"/>
        <v>13920</v>
      </c>
      <c r="J132" s="39">
        <f t="shared" si="102"/>
        <v>13920</v>
      </c>
      <c r="K132" s="39">
        <f t="shared" si="102"/>
        <v>14280</v>
      </c>
      <c r="L132" s="39">
        <f t="shared" si="102"/>
        <v>14280</v>
      </c>
      <c r="M132" s="39">
        <f t="shared" si="102"/>
        <v>14640</v>
      </c>
      <c r="N132" s="39">
        <f t="shared" si="102"/>
        <v>14640</v>
      </c>
      <c r="O132" s="39">
        <f>O127+O130</f>
        <v>15040</v>
      </c>
      <c r="P132" s="39">
        <f>P127+P130</f>
        <v>15040</v>
      </c>
      <c r="Q132" s="39">
        <f>Q127+Q130</f>
        <v>14280</v>
      </c>
      <c r="R132" s="39"/>
      <c r="S132" s="39"/>
      <c r="T132" s="39"/>
      <c r="U132" s="39"/>
      <c r="V132" s="39"/>
      <c r="X132" s="39">
        <f>X127+X130</f>
        <v>15040</v>
      </c>
      <c r="Y132" s="39">
        <f>Y127+Y130</f>
        <v>15440</v>
      </c>
      <c r="Z132" s="39"/>
      <c r="AA132" s="39"/>
      <c r="AB132" s="39"/>
      <c r="AC132" s="39"/>
      <c r="AD132" s="39"/>
      <c r="AE132" s="29"/>
      <c r="AF132" s="31"/>
      <c r="AG132" s="39"/>
      <c r="AH132" s="39"/>
      <c r="AI132" s="39"/>
      <c r="AJ132" s="39"/>
      <c r="AS132" s="127"/>
      <c r="AT132" s="127"/>
      <c r="AU132" s="127"/>
      <c r="AV132" s="127"/>
      <c r="AW132" s="127"/>
      <c r="AX132" s="127"/>
      <c r="AY132" s="127"/>
      <c r="AZ132" s="127"/>
      <c r="BA132" s="127"/>
      <c r="BB132" s="127"/>
      <c r="BC132" s="127"/>
      <c r="BD132" s="127"/>
      <c r="BE132" s="127"/>
      <c r="BF132" s="127"/>
      <c r="BG132" s="127"/>
      <c r="BH132" s="127"/>
      <c r="BI132" s="127"/>
    </row>
    <row r="133" spans="6:61" ht="15" customHeight="1" hidden="1">
      <c r="F133" s="280" t="s">
        <v>171</v>
      </c>
      <c r="G133" s="280"/>
      <c r="H133" s="43" t="str">
        <f>IF(H131&gt;=59250,1400,IF(H131&gt;=54050,1300,IF(H131&gt;=49250,1200,IF(H131&gt;=43750,1100,IF(H131&gt;=39750,1000,IF(H131&gt;=36110,910,IF(H131&gt;=32750,840,"X")))))))</f>
        <v>X</v>
      </c>
      <c r="I133" s="43" t="str">
        <f aca="true" t="shared" si="103" ref="I133:N133">IF(I131&gt;=59250,1400,IF(I131&gt;=54050,1300,IF(I131&gt;=49250,1200,IF(I131&gt;=43750,1100,IF(I131&gt;=39750,1000,IF(I131&gt;=36110,910,IF(I131&gt;=32750,840,"X")))))))</f>
        <v>X</v>
      </c>
      <c r="J133" s="43" t="str">
        <f t="shared" si="103"/>
        <v>X</v>
      </c>
      <c r="K133" s="43" t="str">
        <f t="shared" si="103"/>
        <v>X</v>
      </c>
      <c r="L133" s="43" t="str">
        <f t="shared" si="103"/>
        <v>X</v>
      </c>
      <c r="M133" s="43" t="str">
        <f t="shared" si="103"/>
        <v>X</v>
      </c>
      <c r="N133" s="43" t="str">
        <f t="shared" si="103"/>
        <v>X</v>
      </c>
      <c r="O133" s="43" t="str">
        <f>IF(O131&gt;=59250,1400,IF(O131&gt;=54050,1300,IF(O131&gt;=49250,1200,IF(O131&gt;=43750,1100,IF(O131&gt;=39750,1000,IF(O131&gt;=36110,910,IF(O131&gt;=32750,840,"X")))))))</f>
        <v>X</v>
      </c>
      <c r="P133" s="43" t="str">
        <f>IF(P131&gt;=59250,1400,IF(P131&gt;=54050,1300,IF(P131&gt;=49250,1200,IF(P131&gt;=43750,1100,IF(P131&gt;=39750,1000,IF(P131&gt;=36110,910,IF(P131&gt;=32750,840,"X")))))))</f>
        <v>X</v>
      </c>
      <c r="Q133" s="43" t="str">
        <f>IF(Q131&gt;=59250,1400,IF(Q131&gt;=54050,1300,IF(Q131&gt;=49250,1200,IF(Q131&gt;=43750,1100,IF(Q131&gt;=39750,1000,IF(Q131&gt;=36110,910,IF(Q131&gt;=32750,840,"X")))))))</f>
        <v>X</v>
      </c>
      <c r="R133" s="43"/>
      <c r="S133" s="43"/>
      <c r="T133" s="43"/>
      <c r="U133" s="43"/>
      <c r="V133" s="43"/>
      <c r="X133" s="43" t="str">
        <f>IF(X131&gt;=59250,1400,IF(X131&gt;=54050,1300,IF(X131&gt;=49250,1200,IF(X131&gt;=43750,1100,IF(X131&gt;=39750,1000,IF(X131&gt;=36110,910,IF(X131&gt;=32750,840,"X")))))))</f>
        <v>X</v>
      </c>
      <c r="Y133" s="43" t="str">
        <f>IF(Y131&gt;=59250,1400,IF(Y131&gt;=54050,1300,IF(Y131&gt;=49250,1200,IF(Y131&gt;=43750,1100,IF(Y131&gt;=39750,1000,IF(Y131&gt;=36110,910,IF(Y131&gt;=32750,840,"X")))))))</f>
        <v>X</v>
      </c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S133" s="127"/>
      <c r="AT133" s="127"/>
      <c r="AU133" s="127"/>
      <c r="AV133" s="127"/>
      <c r="AW133" s="127"/>
      <c r="AX133" s="127"/>
      <c r="AY133" s="127"/>
      <c r="AZ133" s="127"/>
      <c r="BA133" s="127"/>
      <c r="BB133" s="127"/>
      <c r="BC133" s="127"/>
      <c r="BD133" s="127"/>
      <c r="BE133" s="127"/>
      <c r="BF133" s="127"/>
      <c r="BG133" s="127"/>
      <c r="BH133" s="127"/>
      <c r="BI133" s="127"/>
    </row>
    <row r="134" spans="7:61" ht="15" hidden="1">
      <c r="G134" s="34"/>
      <c r="H134" s="43" t="str">
        <f>IF(H133="x",IF(H131&gt;=29670,770,IF(H131&gt;=26870,700,IF(H131&gt;=23720,630,IF(H131&gt;=21440,570,IF(H131&gt;=18440,500,IF(H131&gt;=16640,450,IF(H131&gt;=14640,400,"x"))))))),H133)</f>
        <v>x</v>
      </c>
      <c r="I134" s="43" t="str">
        <f aca="true" t="shared" si="104" ref="I134:N134">IF(I133="x",IF(I131&gt;=29670,770,IF(I131&gt;=26870,700,IF(I131&gt;=23720,630,IF(I131&gt;=21440,570,IF(I131&gt;=18440,500,IF(I131&gt;=16640,450,IF(I131&gt;=14640,400,"x"))))))),I133)</f>
        <v>x</v>
      </c>
      <c r="J134" s="43" t="str">
        <f t="shared" si="104"/>
        <v>x</v>
      </c>
      <c r="K134" s="43" t="str">
        <f t="shared" si="104"/>
        <v>x</v>
      </c>
      <c r="L134" s="43" t="str">
        <f t="shared" si="104"/>
        <v>x</v>
      </c>
      <c r="M134" s="43">
        <f t="shared" si="104"/>
        <v>400</v>
      </c>
      <c r="N134" s="43">
        <f t="shared" si="104"/>
        <v>400</v>
      </c>
      <c r="O134" s="43">
        <f>IF(O133="x",IF(O131&gt;=29670,770,IF(O131&gt;=26870,700,IF(O131&gt;=23720,630,IF(O131&gt;=21440,570,IF(O131&gt;=18440,500,IF(O131&gt;=16640,450,IF(O131&gt;=14640,400,"x"))))))),O133)</f>
        <v>400</v>
      </c>
      <c r="P134" s="43">
        <f>IF(P133="x",IF(P131&gt;=29670,770,IF(P131&gt;=26870,700,IF(P131&gt;=23720,630,IF(P131&gt;=21440,570,IF(P131&gt;=18440,500,IF(P131&gt;=16640,450,IF(P131&gt;=14640,400,"x"))))))),P133)</f>
        <v>400</v>
      </c>
      <c r="Q134" s="43" t="str">
        <f>IF(Q133="x",IF(Q131&gt;=29670,770,IF(Q131&gt;=26870,700,IF(Q131&gt;=23720,630,IF(Q131&gt;=21440,570,IF(Q131&gt;=18440,500,IF(Q131&gt;=16640,450,IF(Q131&gt;=14640,400,"x"))))))),Q133)</f>
        <v>x</v>
      </c>
      <c r="R134" s="43"/>
      <c r="S134" s="43"/>
      <c r="T134" s="43"/>
      <c r="U134" s="43"/>
      <c r="V134" s="43"/>
      <c r="X134" s="43">
        <f>IF(X133="x",IF(X131&gt;=29670,770,IF(X131&gt;=26870,700,IF(X131&gt;=23720,630,IF(X131&gt;=21440,570,IF(X131&gt;=18440,500,IF(X131&gt;=16640,450,IF(X131&gt;=14640,400,"x"))))))),X133)</f>
        <v>400</v>
      </c>
      <c r="Y134" s="43">
        <f>IF(Y133="x",IF(Y131&gt;=29670,770,IF(Y131&gt;=26870,700,IF(Y131&gt;=23720,630,IF(Y131&gt;=21440,570,IF(Y131&gt;=18440,500,IF(Y131&gt;=16640,450,IF(Y131&gt;=14640,400,"x"))))))),Y133)</f>
        <v>400</v>
      </c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S134" s="127"/>
      <c r="AT134" s="127"/>
      <c r="AU134" s="127"/>
      <c r="AV134" s="127"/>
      <c r="AW134" s="127"/>
      <c r="AX134" s="127"/>
      <c r="AY134" s="127"/>
      <c r="AZ134" s="127"/>
      <c r="BA134" s="127"/>
      <c r="BB134" s="127"/>
      <c r="BC134" s="127"/>
      <c r="BD134" s="127"/>
      <c r="BE134" s="127"/>
      <c r="BF134" s="127"/>
      <c r="BG134" s="127"/>
      <c r="BH134" s="127"/>
      <c r="BI134" s="127"/>
    </row>
    <row r="135" spans="7:61" ht="15.75" hidden="1">
      <c r="G135" s="34"/>
      <c r="H135" s="44">
        <f aca="true" t="shared" si="105" ref="H135:N135">IF(H134="x",IF(H131&gt;=13200,360,IF(H131&gt;=12210,330,IF(H131&gt;=11010,300,IF(H131&gt;=9930,270,IF(H131&gt;=9430,250,240))))),H134)</f>
        <v>360</v>
      </c>
      <c r="I135" s="44">
        <f t="shared" si="105"/>
        <v>360</v>
      </c>
      <c r="J135" s="44">
        <f t="shared" si="105"/>
        <v>360</v>
      </c>
      <c r="K135" s="44">
        <f t="shared" si="105"/>
        <v>360</v>
      </c>
      <c r="L135" s="44">
        <f t="shared" si="105"/>
        <v>360</v>
      </c>
      <c r="M135" s="44">
        <f t="shared" si="105"/>
        <v>400</v>
      </c>
      <c r="N135" s="44">
        <f t="shared" si="105"/>
        <v>400</v>
      </c>
      <c r="O135" s="44">
        <f>IF(O134="x",IF(O131&gt;=13200,360,IF(O131&gt;=12210,330,IF(O131&gt;=11010,300,IF(O131&gt;=9930,270,IF(O131&gt;=9430,250,240))))),O134)</f>
        <v>400</v>
      </c>
      <c r="P135" s="44">
        <f>IF(P134="x",IF(P131&gt;=13200,360,IF(P131&gt;=12210,330,IF(P131&gt;=11010,300,IF(P131&gt;=9930,270,IF(P131&gt;=9430,250,240))))),P134)</f>
        <v>400</v>
      </c>
      <c r="Q135" s="44">
        <f>IF(Q134="x",IF(Q131&gt;=13200,360,IF(Q131&gt;=12210,330,IF(Q131&gt;=11010,300,IF(Q131&gt;=9930,270,IF(Q131&gt;=9430,250,240))))),Q134)</f>
        <v>360</v>
      </c>
      <c r="R135" s="44"/>
      <c r="S135" s="44"/>
      <c r="T135" s="44"/>
      <c r="U135" s="44"/>
      <c r="V135" s="44"/>
      <c r="X135" s="44">
        <f>IF(X134="x",IF(X131&gt;=13200,360,IF(X131&gt;=12210,330,IF(X131&gt;=11010,300,IF(X131&gt;=9930,270,IF(X131&gt;=9430,250,240))))),X134)</f>
        <v>400</v>
      </c>
      <c r="Y135" s="44">
        <f>IF(Y134="x",IF(Y131&gt;=13200,360,IF(Y131&gt;=12210,330,IF(Y131&gt;=11010,300,IF(Y131&gt;=9930,270,IF(Y131&gt;=9430,250,240))))),Y134)</f>
        <v>400</v>
      </c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S135" s="127"/>
      <c r="AT135" s="127"/>
      <c r="AU135" s="127"/>
      <c r="AV135" s="127"/>
      <c r="AW135" s="127"/>
      <c r="AX135" s="127"/>
      <c r="AY135" s="127"/>
      <c r="AZ135" s="127"/>
      <c r="BA135" s="127"/>
      <c r="BB135" s="127"/>
      <c r="BC135" s="127"/>
      <c r="BD135" s="127"/>
      <c r="BE135" s="127"/>
      <c r="BF135" s="127"/>
      <c r="BG135" s="127"/>
      <c r="BH135" s="127"/>
      <c r="BI135" s="127"/>
    </row>
    <row r="136" spans="7:61" ht="15" hidden="1">
      <c r="G136" s="34"/>
      <c r="H136" s="39">
        <f aca="true" t="shared" si="106" ref="H136:N136">IF(H137&gt;=H115,H115-1,H137)</f>
        <v>13920</v>
      </c>
      <c r="I136" s="39">
        <f t="shared" si="106"/>
        <v>14280</v>
      </c>
      <c r="J136" s="39">
        <f t="shared" si="106"/>
        <v>14280</v>
      </c>
      <c r="K136" s="39">
        <f t="shared" si="106"/>
        <v>14640</v>
      </c>
      <c r="L136" s="39">
        <f t="shared" si="106"/>
        <v>14640</v>
      </c>
      <c r="M136" s="39">
        <f t="shared" si="106"/>
        <v>15040</v>
      </c>
      <c r="N136" s="39">
        <f t="shared" si="106"/>
        <v>15040</v>
      </c>
      <c r="O136" s="39">
        <f>IF(O137&gt;=O115,O115-1,O137)</f>
        <v>15440</v>
      </c>
      <c r="P136" s="39">
        <f>IF(P137&gt;=P115,P115-1,P137)</f>
        <v>15440</v>
      </c>
      <c r="Q136" s="39">
        <f>IF(Q137&gt;=Q115,Q115-1,Q137)</f>
        <v>14640</v>
      </c>
      <c r="R136" s="39"/>
      <c r="S136" s="39"/>
      <c r="T136" s="39"/>
      <c r="U136" s="39"/>
      <c r="V136" s="39"/>
      <c r="X136" s="39">
        <f>IF(X137&gt;=X115,X115-1,X137)</f>
        <v>15440</v>
      </c>
      <c r="Y136" s="39">
        <f>IF(Y137&gt;=Y115,Y115-1,Y137)</f>
        <v>15840</v>
      </c>
      <c r="Z136" s="39"/>
      <c r="AA136" s="39"/>
      <c r="AB136" s="39"/>
      <c r="AC136" s="39"/>
      <c r="AD136" s="39"/>
      <c r="AE136" s="43"/>
      <c r="AF136" s="43"/>
      <c r="AG136" s="39"/>
      <c r="AH136" s="39"/>
      <c r="AI136" s="39"/>
      <c r="AJ136" s="39"/>
      <c r="AS136" s="127"/>
      <c r="AT136" s="127"/>
      <c r="AU136" s="127"/>
      <c r="AV136" s="127"/>
      <c r="AW136" s="127"/>
      <c r="AX136" s="127"/>
      <c r="AY136" s="127"/>
      <c r="AZ136" s="127"/>
      <c r="BA136" s="127"/>
      <c r="BB136" s="127"/>
      <c r="BC136" s="127"/>
      <c r="BD136" s="127"/>
      <c r="BE136" s="127"/>
      <c r="BF136" s="127"/>
      <c r="BG136" s="127"/>
      <c r="BH136" s="127"/>
      <c r="BI136" s="127"/>
    </row>
    <row r="137" spans="6:61" ht="15.75" hidden="1">
      <c r="F137" s="319" t="s">
        <v>175</v>
      </c>
      <c r="G137" s="319"/>
      <c r="H137" s="39">
        <f aca="true" t="shared" si="107" ref="H137:N137">H132+H135</f>
        <v>13920</v>
      </c>
      <c r="I137" s="39">
        <f t="shared" si="107"/>
        <v>14280</v>
      </c>
      <c r="J137" s="39">
        <f t="shared" si="107"/>
        <v>14280</v>
      </c>
      <c r="K137" s="39">
        <f t="shared" si="107"/>
        <v>14640</v>
      </c>
      <c r="L137" s="39">
        <f t="shared" si="107"/>
        <v>14640</v>
      </c>
      <c r="M137" s="39">
        <f t="shared" si="107"/>
        <v>15040</v>
      </c>
      <c r="N137" s="39">
        <f t="shared" si="107"/>
        <v>15040</v>
      </c>
      <c r="O137" s="39">
        <f>O132+O135</f>
        <v>15440</v>
      </c>
      <c r="P137" s="39">
        <f>P132+P135</f>
        <v>15440</v>
      </c>
      <c r="Q137" s="39">
        <f>Q132+Q135</f>
        <v>14640</v>
      </c>
      <c r="R137" s="39"/>
      <c r="S137" s="39"/>
      <c r="T137" s="39"/>
      <c r="U137" s="39"/>
      <c r="V137" s="39"/>
      <c r="X137" s="39">
        <f>X132+X135</f>
        <v>15440</v>
      </c>
      <c r="Y137" s="39">
        <f>Y132+Y135</f>
        <v>15840</v>
      </c>
      <c r="Z137" s="39"/>
      <c r="AA137" s="39"/>
      <c r="AB137" s="39"/>
      <c r="AC137" s="39"/>
      <c r="AD137" s="39"/>
      <c r="AE137" s="44"/>
      <c r="AF137" s="44"/>
      <c r="AG137" s="39"/>
      <c r="AH137" s="39"/>
      <c r="AI137" s="39"/>
      <c r="AJ137" s="39"/>
      <c r="AS137" s="127"/>
      <c r="AT137" s="127"/>
      <c r="AU137" s="127"/>
      <c r="AV137" s="127"/>
      <c r="AW137" s="127"/>
      <c r="AX137" s="127"/>
      <c r="AY137" s="127"/>
      <c r="AZ137" s="127"/>
      <c r="BA137" s="127"/>
      <c r="BB137" s="127"/>
      <c r="BC137" s="127"/>
      <c r="BD137" s="127"/>
      <c r="BE137" s="127"/>
      <c r="BF137" s="127"/>
      <c r="BG137" s="127"/>
      <c r="BH137" s="127"/>
      <c r="BI137" s="127"/>
    </row>
    <row r="138" spans="6:61" ht="15" customHeight="1" hidden="1">
      <c r="F138" s="280" t="s">
        <v>171</v>
      </c>
      <c r="G138" s="280"/>
      <c r="H138" s="43" t="str">
        <f>IF(H136&gt;=59250,1400,IF(H136&gt;=54050,1300,IF(H136&gt;=49250,1200,IF(H136&gt;=43750,1100,IF(H136&gt;=39750,1000,IF(H136&gt;=36110,910,IF(H136&gt;=32750,840,"X")))))))</f>
        <v>X</v>
      </c>
      <c r="I138" s="43" t="str">
        <f aca="true" t="shared" si="108" ref="I138:N138">IF(I136&gt;=59250,1400,IF(I136&gt;=54050,1300,IF(I136&gt;=49250,1200,IF(I136&gt;=43750,1100,IF(I136&gt;=39750,1000,IF(I136&gt;=36110,910,IF(I136&gt;=32750,840,"X")))))))</f>
        <v>X</v>
      </c>
      <c r="J138" s="43" t="str">
        <f t="shared" si="108"/>
        <v>X</v>
      </c>
      <c r="K138" s="43" t="str">
        <f t="shared" si="108"/>
        <v>X</v>
      </c>
      <c r="L138" s="43" t="str">
        <f t="shared" si="108"/>
        <v>X</v>
      </c>
      <c r="M138" s="43" t="str">
        <f t="shared" si="108"/>
        <v>X</v>
      </c>
      <c r="N138" s="43" t="str">
        <f t="shared" si="108"/>
        <v>X</v>
      </c>
      <c r="O138" s="43" t="str">
        <f>IF(O136&gt;=59250,1400,IF(O136&gt;=54050,1300,IF(O136&gt;=49250,1200,IF(O136&gt;=43750,1100,IF(O136&gt;=39750,1000,IF(O136&gt;=36110,910,IF(O136&gt;=32750,840,"X")))))))</f>
        <v>X</v>
      </c>
      <c r="P138" s="43" t="str">
        <f>IF(P136&gt;=59250,1400,IF(P136&gt;=54050,1300,IF(P136&gt;=49250,1200,IF(P136&gt;=43750,1100,IF(P136&gt;=39750,1000,IF(P136&gt;=36110,910,IF(P136&gt;=32750,840,"X")))))))</f>
        <v>X</v>
      </c>
      <c r="Q138" s="43" t="str">
        <f>IF(Q136&gt;=59250,1400,IF(Q136&gt;=54050,1300,IF(Q136&gt;=49250,1200,IF(Q136&gt;=43750,1100,IF(Q136&gt;=39750,1000,IF(Q136&gt;=36110,910,IF(Q136&gt;=32750,840,"X")))))))</f>
        <v>X</v>
      </c>
      <c r="R138" s="43"/>
      <c r="S138" s="43"/>
      <c r="T138" s="43"/>
      <c r="U138" s="43"/>
      <c r="V138" s="43"/>
      <c r="X138" s="43" t="str">
        <f>IF(X136&gt;=59250,1400,IF(X136&gt;=54050,1300,IF(X136&gt;=49250,1200,IF(X136&gt;=43750,1100,IF(X136&gt;=39750,1000,IF(X136&gt;=36110,910,IF(X136&gt;=32750,840,"X")))))))</f>
        <v>X</v>
      </c>
      <c r="Y138" s="43" t="str">
        <f>IF(Y136&gt;=59250,1400,IF(Y136&gt;=54050,1300,IF(Y136&gt;=49250,1200,IF(Y136&gt;=43750,1100,IF(Y136&gt;=39750,1000,IF(Y136&gt;=36110,910,IF(Y136&gt;=32750,840,"X")))))))</f>
        <v>X</v>
      </c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S138" s="127"/>
      <c r="AT138" s="127"/>
      <c r="AU138" s="127"/>
      <c r="AV138" s="127"/>
      <c r="AW138" s="127"/>
      <c r="AX138" s="127"/>
      <c r="AY138" s="127"/>
      <c r="AZ138" s="127"/>
      <c r="BA138" s="127"/>
      <c r="BB138" s="127"/>
      <c r="BC138" s="127"/>
      <c r="BD138" s="127"/>
      <c r="BE138" s="127"/>
      <c r="BF138" s="127"/>
      <c r="BG138" s="127"/>
      <c r="BH138" s="127"/>
      <c r="BI138" s="127"/>
    </row>
    <row r="139" spans="7:61" ht="15" hidden="1">
      <c r="G139" s="34"/>
      <c r="H139" s="43" t="str">
        <f>IF(H138="x",IF(H136&gt;=29670,770,IF(H136&gt;=26870,700,IF(H136&gt;=23720,630,IF(H136&gt;=21440,570,IF(H136&gt;=18440,500,IF(H136&gt;=16640,450,IF(H136&gt;=14640,400,"x"))))))),H138)</f>
        <v>x</v>
      </c>
      <c r="I139" s="43" t="str">
        <f aca="true" t="shared" si="109" ref="I139:N139">IF(I138="x",IF(I136&gt;=29670,770,IF(I136&gt;=26870,700,IF(I136&gt;=23720,630,IF(I136&gt;=21440,570,IF(I136&gt;=18440,500,IF(I136&gt;=16640,450,IF(I136&gt;=14640,400,"x"))))))),I138)</f>
        <v>x</v>
      </c>
      <c r="J139" s="43" t="str">
        <f t="shared" si="109"/>
        <v>x</v>
      </c>
      <c r="K139" s="43">
        <f t="shared" si="109"/>
        <v>400</v>
      </c>
      <c r="L139" s="43">
        <f t="shared" si="109"/>
        <v>400</v>
      </c>
      <c r="M139" s="43">
        <f t="shared" si="109"/>
        <v>400</v>
      </c>
      <c r="N139" s="43">
        <f t="shared" si="109"/>
        <v>400</v>
      </c>
      <c r="O139" s="43">
        <f>IF(O138="x",IF(O136&gt;=29670,770,IF(O136&gt;=26870,700,IF(O136&gt;=23720,630,IF(O136&gt;=21440,570,IF(O136&gt;=18440,500,IF(O136&gt;=16640,450,IF(O136&gt;=14640,400,"x"))))))),O138)</f>
        <v>400</v>
      </c>
      <c r="P139" s="43">
        <f>IF(P138="x",IF(P136&gt;=29670,770,IF(P136&gt;=26870,700,IF(P136&gt;=23720,630,IF(P136&gt;=21440,570,IF(P136&gt;=18440,500,IF(P136&gt;=16640,450,IF(P136&gt;=14640,400,"x"))))))),P138)</f>
        <v>400</v>
      </c>
      <c r="Q139" s="43">
        <f>IF(Q138="x",IF(Q136&gt;=29670,770,IF(Q136&gt;=26870,700,IF(Q136&gt;=23720,630,IF(Q136&gt;=21440,570,IF(Q136&gt;=18440,500,IF(Q136&gt;=16640,450,IF(Q136&gt;=14640,400,"x"))))))),Q138)</f>
        <v>400</v>
      </c>
      <c r="R139" s="43"/>
      <c r="S139" s="43"/>
      <c r="T139" s="43"/>
      <c r="U139" s="43"/>
      <c r="V139" s="43"/>
      <c r="X139" s="43">
        <f>IF(X138="x",IF(X136&gt;=29670,770,IF(X136&gt;=26870,700,IF(X136&gt;=23720,630,IF(X136&gt;=21440,570,IF(X136&gt;=18440,500,IF(X136&gt;=16640,450,IF(X136&gt;=14640,400,"x"))))))),X138)</f>
        <v>400</v>
      </c>
      <c r="Y139" s="43">
        <f>IF(Y138="x",IF(Y136&gt;=29670,770,IF(Y136&gt;=26870,700,IF(Y136&gt;=23720,630,IF(Y136&gt;=21440,570,IF(Y136&gt;=18440,500,IF(Y136&gt;=16640,450,IF(Y136&gt;=14640,400,"x"))))))),Y138)</f>
        <v>400</v>
      </c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S139" s="127"/>
      <c r="AT139" s="127"/>
      <c r="AU139" s="127"/>
      <c r="AV139" s="127"/>
      <c r="AW139" s="127"/>
      <c r="AX139" s="127"/>
      <c r="AY139" s="127"/>
      <c r="AZ139" s="127"/>
      <c r="BA139" s="127"/>
      <c r="BB139" s="127"/>
      <c r="BC139" s="127"/>
      <c r="BD139" s="127"/>
      <c r="BE139" s="127"/>
      <c r="BF139" s="127"/>
      <c r="BG139" s="127"/>
      <c r="BH139" s="127"/>
      <c r="BI139" s="127"/>
    </row>
    <row r="140" spans="7:61" ht="15.75" hidden="1">
      <c r="G140" s="34"/>
      <c r="H140" s="44">
        <f aca="true" t="shared" si="110" ref="H140:N140">IF(H139="x",IF(H136&gt;=13200,360,IF(H136&gt;=12210,330,IF(H136&gt;=11010,300,IF(H136&gt;=9930,270,IF(H136&gt;=9430,250,240))))),H139)</f>
        <v>360</v>
      </c>
      <c r="I140" s="44">
        <f t="shared" si="110"/>
        <v>360</v>
      </c>
      <c r="J140" s="44">
        <f t="shared" si="110"/>
        <v>360</v>
      </c>
      <c r="K140" s="44">
        <f t="shared" si="110"/>
        <v>400</v>
      </c>
      <c r="L140" s="44">
        <f t="shared" si="110"/>
        <v>400</v>
      </c>
      <c r="M140" s="44">
        <f t="shared" si="110"/>
        <v>400</v>
      </c>
      <c r="N140" s="44">
        <f t="shared" si="110"/>
        <v>400</v>
      </c>
      <c r="O140" s="44">
        <f>IF(O139="x",IF(O136&gt;=13200,360,IF(O136&gt;=12210,330,IF(O136&gt;=11010,300,IF(O136&gt;=9930,270,IF(O136&gt;=9430,250,240))))),O139)</f>
        <v>400</v>
      </c>
      <c r="P140" s="44">
        <f>IF(P139="x",IF(P136&gt;=13200,360,IF(P136&gt;=12210,330,IF(P136&gt;=11010,300,IF(P136&gt;=9930,270,IF(P136&gt;=9430,250,240))))),P139)</f>
        <v>400</v>
      </c>
      <c r="Q140" s="44">
        <f>IF(Q139="x",IF(Q136&gt;=13200,360,IF(Q136&gt;=12210,330,IF(Q136&gt;=11010,300,IF(Q136&gt;=9930,270,IF(Q136&gt;=9430,250,240))))),Q139)</f>
        <v>400</v>
      </c>
      <c r="R140" s="44"/>
      <c r="S140" s="44"/>
      <c r="T140" s="44"/>
      <c r="U140" s="44"/>
      <c r="V140" s="44"/>
      <c r="X140" s="44">
        <f>IF(X139="x",IF(X136&gt;=13200,360,IF(X136&gt;=12210,330,IF(X136&gt;=11010,300,IF(X136&gt;=9930,270,IF(X136&gt;=9430,250,240))))),X139)</f>
        <v>400</v>
      </c>
      <c r="Y140" s="44">
        <f>IF(Y139="x",IF(Y136&gt;=13200,360,IF(Y136&gt;=12210,330,IF(Y136&gt;=11010,300,IF(Y136&gt;=9930,270,IF(Y136&gt;=9430,250,240))))),Y139)</f>
        <v>400</v>
      </c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S140" s="127"/>
      <c r="AT140" s="127"/>
      <c r="AU140" s="127"/>
      <c r="AV140" s="127"/>
      <c r="AW140" s="127"/>
      <c r="AX140" s="127"/>
      <c r="AY140" s="127"/>
      <c r="AZ140" s="127"/>
      <c r="BA140" s="127"/>
      <c r="BB140" s="127"/>
      <c r="BC140" s="127"/>
      <c r="BD140" s="127"/>
      <c r="BE140" s="127"/>
      <c r="BF140" s="127"/>
      <c r="BG140" s="127"/>
      <c r="BH140" s="127"/>
      <c r="BI140" s="127"/>
    </row>
    <row r="141" spans="7:61" ht="15" hidden="1">
      <c r="G141" s="34"/>
      <c r="H141" s="39">
        <f aca="true" t="shared" si="111" ref="H141:N141">IF(H142&gt;=H115,H115-1,H142)</f>
        <v>14280</v>
      </c>
      <c r="I141" s="39">
        <f t="shared" si="111"/>
        <v>14640</v>
      </c>
      <c r="J141" s="39">
        <f t="shared" si="111"/>
        <v>14640</v>
      </c>
      <c r="K141" s="39">
        <f t="shared" si="111"/>
        <v>15040</v>
      </c>
      <c r="L141" s="39">
        <f t="shared" si="111"/>
        <v>15040</v>
      </c>
      <c r="M141" s="39">
        <f t="shared" si="111"/>
        <v>15440</v>
      </c>
      <c r="N141" s="39">
        <f t="shared" si="111"/>
        <v>15440</v>
      </c>
      <c r="O141" s="39">
        <f>IF(O142&gt;=O115,O115-1,O142)</f>
        <v>15840</v>
      </c>
      <c r="P141" s="39">
        <f>IF(P142&gt;=P115,P115-1,P142)</f>
        <v>15840</v>
      </c>
      <c r="Q141" s="39">
        <f>IF(Q142&gt;=Q115,Q115-1,Q142)</f>
        <v>15040</v>
      </c>
      <c r="R141" s="39"/>
      <c r="S141" s="39"/>
      <c r="T141" s="39"/>
      <c r="U141" s="39"/>
      <c r="V141" s="39"/>
      <c r="X141" s="39">
        <f>IF(X142&gt;=X115,X115-1,X142)</f>
        <v>15840</v>
      </c>
      <c r="Y141" s="39">
        <f>IF(Y142&gt;=Y115,Y115-1,Y142)</f>
        <v>16240</v>
      </c>
      <c r="Z141" s="39"/>
      <c r="AA141" s="39"/>
      <c r="AB141" s="39"/>
      <c r="AC141" s="39"/>
      <c r="AD141" s="39"/>
      <c r="AE141" s="43"/>
      <c r="AF141" s="43"/>
      <c r="AG141" s="39"/>
      <c r="AH141" s="39"/>
      <c r="AI141" s="39"/>
      <c r="AJ141" s="39"/>
      <c r="AS141" s="127"/>
      <c r="AT141" s="127"/>
      <c r="AU141" s="127"/>
      <c r="AV141" s="127"/>
      <c r="AW141" s="127"/>
      <c r="AX141" s="127"/>
      <c r="AY141" s="127"/>
      <c r="AZ141" s="127"/>
      <c r="BA141" s="127"/>
      <c r="BB141" s="127"/>
      <c r="BC141" s="127"/>
      <c r="BD141" s="127"/>
      <c r="BE141" s="127"/>
      <c r="BF141" s="127"/>
      <c r="BG141" s="127"/>
      <c r="BH141" s="127"/>
      <c r="BI141" s="127"/>
    </row>
    <row r="142" spans="6:61" ht="15.75" hidden="1">
      <c r="F142" s="319" t="s">
        <v>176</v>
      </c>
      <c r="G142" s="319"/>
      <c r="H142" s="39">
        <f aca="true" t="shared" si="112" ref="H142:N142">H137+H140</f>
        <v>14280</v>
      </c>
      <c r="I142" s="39">
        <f t="shared" si="112"/>
        <v>14640</v>
      </c>
      <c r="J142" s="39">
        <f t="shared" si="112"/>
        <v>14640</v>
      </c>
      <c r="K142" s="39">
        <f t="shared" si="112"/>
        <v>15040</v>
      </c>
      <c r="L142" s="39">
        <f t="shared" si="112"/>
        <v>15040</v>
      </c>
      <c r="M142" s="39">
        <f t="shared" si="112"/>
        <v>15440</v>
      </c>
      <c r="N142" s="39">
        <f t="shared" si="112"/>
        <v>15440</v>
      </c>
      <c r="O142" s="39">
        <f>O137+O140</f>
        <v>15840</v>
      </c>
      <c r="P142" s="39">
        <f>P137+P140</f>
        <v>15840</v>
      </c>
      <c r="Q142" s="39">
        <f>Q137+Q140</f>
        <v>15040</v>
      </c>
      <c r="R142" s="39"/>
      <c r="S142" s="39"/>
      <c r="T142" s="39"/>
      <c r="U142" s="39"/>
      <c r="V142" s="39"/>
      <c r="X142" s="39">
        <f>X137+X140</f>
        <v>15840</v>
      </c>
      <c r="Y142" s="39">
        <f>Y137+Y140</f>
        <v>16240</v>
      </c>
      <c r="Z142" s="39"/>
      <c r="AA142" s="39"/>
      <c r="AB142" s="39"/>
      <c r="AC142" s="39"/>
      <c r="AD142" s="39"/>
      <c r="AE142" s="44"/>
      <c r="AF142" s="44"/>
      <c r="AG142" s="39"/>
      <c r="AH142" s="39"/>
      <c r="AI142" s="39"/>
      <c r="AJ142" s="39"/>
      <c r="AS142" s="127"/>
      <c r="AT142" s="127"/>
      <c r="AU142" s="127"/>
      <c r="AV142" s="127"/>
      <c r="AW142" s="127"/>
      <c r="AX142" s="127"/>
      <c r="AY142" s="127"/>
      <c r="AZ142" s="127"/>
      <c r="BA142" s="127"/>
      <c r="BB142" s="127"/>
      <c r="BC142" s="127"/>
      <c r="BD142" s="127"/>
      <c r="BE142" s="127"/>
      <c r="BF142" s="127"/>
      <c r="BG142" s="127"/>
      <c r="BH142" s="127"/>
      <c r="BI142" s="127"/>
    </row>
    <row r="143" spans="6:61" ht="15" customHeight="1" hidden="1">
      <c r="F143" s="280" t="s">
        <v>171</v>
      </c>
      <c r="G143" s="280"/>
      <c r="H143" s="43" t="str">
        <f>IF(H141&gt;=59250,1400,IF(H141&gt;=54050,1300,IF(H141&gt;=49250,1200,IF(H141&gt;=43750,1100,IF(H141&gt;=39750,1000,IF(H141&gt;=36110,910,IF(H141&gt;=32750,840,"X")))))))</f>
        <v>X</v>
      </c>
      <c r="I143" s="43" t="str">
        <f aca="true" t="shared" si="113" ref="I143:N143">IF(I141&gt;=59250,1400,IF(I141&gt;=54050,1300,IF(I141&gt;=49250,1200,IF(I141&gt;=43750,1100,IF(I141&gt;=39750,1000,IF(I141&gt;=36110,910,IF(I141&gt;=32750,840,"X")))))))</f>
        <v>X</v>
      </c>
      <c r="J143" s="43" t="str">
        <f t="shared" si="113"/>
        <v>X</v>
      </c>
      <c r="K143" s="43" t="str">
        <f t="shared" si="113"/>
        <v>X</v>
      </c>
      <c r="L143" s="43" t="str">
        <f t="shared" si="113"/>
        <v>X</v>
      </c>
      <c r="M143" s="43" t="str">
        <f t="shared" si="113"/>
        <v>X</v>
      </c>
      <c r="N143" s="43" t="str">
        <f t="shared" si="113"/>
        <v>X</v>
      </c>
      <c r="O143" s="43" t="str">
        <f>IF(O141&gt;=59250,1400,IF(O141&gt;=54050,1300,IF(O141&gt;=49250,1200,IF(O141&gt;=43750,1100,IF(O141&gt;=39750,1000,IF(O141&gt;=36110,910,IF(O141&gt;=32750,840,"X")))))))</f>
        <v>X</v>
      </c>
      <c r="P143" s="43" t="str">
        <f>IF(P141&gt;=59250,1400,IF(P141&gt;=54050,1300,IF(P141&gt;=49250,1200,IF(P141&gt;=43750,1100,IF(P141&gt;=39750,1000,IF(P141&gt;=36110,910,IF(P141&gt;=32750,840,"X")))))))</f>
        <v>X</v>
      </c>
      <c r="Q143" s="43" t="str">
        <f>IF(Q141&gt;=59250,1400,IF(Q141&gt;=54050,1300,IF(Q141&gt;=49250,1200,IF(Q141&gt;=43750,1100,IF(Q141&gt;=39750,1000,IF(Q141&gt;=36110,910,IF(Q141&gt;=32750,840,"X")))))))</f>
        <v>X</v>
      </c>
      <c r="R143" s="43"/>
      <c r="S143" s="43"/>
      <c r="T143" s="43"/>
      <c r="U143" s="43"/>
      <c r="V143" s="43"/>
      <c r="X143" s="43" t="str">
        <f>IF(X141&gt;=59250,1400,IF(X141&gt;=54050,1300,IF(X141&gt;=49250,1200,IF(X141&gt;=43750,1100,IF(X141&gt;=39750,1000,IF(X141&gt;=36110,910,IF(X141&gt;=32750,840,"X")))))))</f>
        <v>X</v>
      </c>
      <c r="Y143" s="43" t="str">
        <f>IF(Y141&gt;=59250,1400,IF(Y141&gt;=54050,1300,IF(Y141&gt;=49250,1200,IF(Y141&gt;=43750,1100,IF(Y141&gt;=39750,1000,IF(Y141&gt;=36110,910,IF(Y141&gt;=32750,840,"X")))))))</f>
        <v>X</v>
      </c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S143" s="127"/>
      <c r="AT143" s="127"/>
      <c r="AU143" s="127"/>
      <c r="AV143" s="127"/>
      <c r="AW143" s="127"/>
      <c r="AX143" s="127"/>
      <c r="AY143" s="127"/>
      <c r="AZ143" s="127"/>
      <c r="BA143" s="127"/>
      <c r="BB143" s="127"/>
      <c r="BC143" s="127"/>
      <c r="BD143" s="127"/>
      <c r="BE143" s="127"/>
      <c r="BF143" s="127"/>
      <c r="BG143" s="127"/>
      <c r="BH143" s="127"/>
      <c r="BI143" s="127"/>
    </row>
    <row r="144" spans="6:61" ht="15" hidden="1">
      <c r="F144" s="280"/>
      <c r="G144" s="280"/>
      <c r="H144" s="43" t="str">
        <f>IF(H143="x",IF(H141&gt;=29670,770,IF(H141&gt;=26870,700,IF(H141&gt;=23720,630,IF(H141&gt;=21440,570,IF(H141&gt;=18440,500,IF(H141&gt;=16640,450,IF(H141&gt;=14640,400,"x"))))))),H143)</f>
        <v>x</v>
      </c>
      <c r="I144" s="43">
        <f aca="true" t="shared" si="114" ref="I144:N144">IF(I143="x",IF(I141&gt;=29670,770,IF(I141&gt;=26870,700,IF(I141&gt;=23720,630,IF(I141&gt;=21440,570,IF(I141&gt;=18440,500,IF(I141&gt;=16640,450,IF(I141&gt;=14640,400,"x"))))))),I143)</f>
        <v>400</v>
      </c>
      <c r="J144" s="43">
        <f t="shared" si="114"/>
        <v>400</v>
      </c>
      <c r="K144" s="43">
        <f t="shared" si="114"/>
        <v>400</v>
      </c>
      <c r="L144" s="43">
        <f t="shared" si="114"/>
        <v>400</v>
      </c>
      <c r="M144" s="43">
        <f t="shared" si="114"/>
        <v>400</v>
      </c>
      <c r="N144" s="43">
        <f t="shared" si="114"/>
        <v>400</v>
      </c>
      <c r="O144" s="43">
        <f>IF(O143="x",IF(O141&gt;=29670,770,IF(O141&gt;=26870,700,IF(O141&gt;=23720,630,IF(O141&gt;=21440,570,IF(O141&gt;=18440,500,IF(O141&gt;=16640,450,IF(O141&gt;=14640,400,"x"))))))),O143)</f>
        <v>400</v>
      </c>
      <c r="P144" s="43">
        <f>IF(P143="x",IF(P141&gt;=29670,770,IF(P141&gt;=26870,700,IF(P141&gt;=23720,630,IF(P141&gt;=21440,570,IF(P141&gt;=18440,500,IF(P141&gt;=16640,450,IF(P141&gt;=14640,400,"x"))))))),P143)</f>
        <v>400</v>
      </c>
      <c r="Q144" s="43">
        <f>IF(Q143="x",IF(Q141&gt;=29670,770,IF(Q141&gt;=26870,700,IF(Q141&gt;=23720,630,IF(Q141&gt;=21440,570,IF(Q141&gt;=18440,500,IF(Q141&gt;=16640,450,IF(Q141&gt;=14640,400,"x"))))))),Q143)</f>
        <v>400</v>
      </c>
      <c r="R144" s="43"/>
      <c r="S144" s="43"/>
      <c r="T144" s="43"/>
      <c r="U144" s="43"/>
      <c r="V144" s="43"/>
      <c r="X144" s="43">
        <f>IF(X143="x",IF(X141&gt;=29670,770,IF(X141&gt;=26870,700,IF(X141&gt;=23720,630,IF(X141&gt;=21440,570,IF(X141&gt;=18440,500,IF(X141&gt;=16640,450,IF(X141&gt;=14640,400,"x"))))))),X143)</f>
        <v>400</v>
      </c>
      <c r="Y144" s="43">
        <f>IF(Y143="x",IF(Y141&gt;=29670,770,IF(Y141&gt;=26870,700,IF(Y141&gt;=23720,630,IF(Y141&gt;=21440,570,IF(Y141&gt;=18440,500,IF(Y141&gt;=16640,450,IF(Y141&gt;=14640,400,"x"))))))),Y143)</f>
        <v>400</v>
      </c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S144" s="127"/>
      <c r="AT144" s="127"/>
      <c r="AU144" s="127"/>
      <c r="AV144" s="127"/>
      <c r="AW144" s="127"/>
      <c r="AX144" s="127"/>
      <c r="AY144" s="127"/>
      <c r="AZ144" s="127"/>
      <c r="BA144" s="127"/>
      <c r="BB144" s="127"/>
      <c r="BC144" s="127"/>
      <c r="BD144" s="127"/>
      <c r="BE144" s="127"/>
      <c r="BF144" s="127"/>
      <c r="BG144" s="127"/>
      <c r="BH144" s="127"/>
      <c r="BI144" s="127"/>
    </row>
    <row r="145" spans="6:61" ht="15.75" hidden="1">
      <c r="F145" s="280"/>
      <c r="G145" s="280"/>
      <c r="H145" s="44">
        <f aca="true" t="shared" si="115" ref="H145:N145">IF(H144="x",IF(H141&gt;=13200,360,IF(H141&gt;=12210,330,IF(H141&gt;=11010,300,IF(H141&gt;=9930,270,IF(H141&gt;=9430,250,240))))),H144)</f>
        <v>360</v>
      </c>
      <c r="I145" s="44">
        <f t="shared" si="115"/>
        <v>400</v>
      </c>
      <c r="J145" s="44">
        <f t="shared" si="115"/>
        <v>400</v>
      </c>
      <c r="K145" s="44">
        <f t="shared" si="115"/>
        <v>400</v>
      </c>
      <c r="L145" s="44">
        <f t="shared" si="115"/>
        <v>400</v>
      </c>
      <c r="M145" s="44">
        <f t="shared" si="115"/>
        <v>400</v>
      </c>
      <c r="N145" s="44">
        <f t="shared" si="115"/>
        <v>400</v>
      </c>
      <c r="O145" s="44">
        <f>IF(O144="x",IF(O141&gt;=13200,360,IF(O141&gt;=12210,330,IF(O141&gt;=11010,300,IF(O141&gt;=9930,270,IF(O141&gt;=9430,250,240))))),O144)</f>
        <v>400</v>
      </c>
      <c r="P145" s="44">
        <f>IF(P144="x",IF(P141&gt;=13200,360,IF(P141&gt;=12210,330,IF(P141&gt;=11010,300,IF(P141&gt;=9930,270,IF(P141&gt;=9430,250,240))))),P144)</f>
        <v>400</v>
      </c>
      <c r="Q145" s="44">
        <f>IF(Q144="x",IF(Q141&gt;=13200,360,IF(Q141&gt;=12210,330,IF(Q141&gt;=11010,300,IF(Q141&gt;=9930,270,IF(Q141&gt;=9430,250,240))))),Q144)</f>
        <v>400</v>
      </c>
      <c r="R145" s="44"/>
      <c r="S145" s="44"/>
      <c r="T145" s="44"/>
      <c r="U145" s="44"/>
      <c r="V145" s="44"/>
      <c r="X145" s="44">
        <f>IF(X144="x",IF(X141&gt;=13200,360,IF(X141&gt;=12210,330,IF(X141&gt;=11010,300,IF(X141&gt;=9930,270,IF(X141&gt;=9430,250,240))))),X144)</f>
        <v>400</v>
      </c>
      <c r="Y145" s="44">
        <f>IF(Y144="x",IF(Y141&gt;=13200,360,IF(Y141&gt;=12210,330,IF(Y141&gt;=11010,300,IF(Y141&gt;=9930,270,IF(Y141&gt;=9430,250,240))))),Y144)</f>
        <v>400</v>
      </c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S145" s="127"/>
      <c r="AT145" s="127"/>
      <c r="AU145" s="127"/>
      <c r="AV145" s="127"/>
      <c r="AW145" s="127"/>
      <c r="AX145" s="127"/>
      <c r="AY145" s="127"/>
      <c r="AZ145" s="127"/>
      <c r="BA145" s="127"/>
      <c r="BB145" s="127"/>
      <c r="BC145" s="127"/>
      <c r="BD145" s="127"/>
      <c r="BE145" s="127"/>
      <c r="BF145" s="127"/>
      <c r="BG145" s="127"/>
      <c r="BH145" s="127"/>
      <c r="BI145" s="127"/>
    </row>
    <row r="146" spans="7:61" ht="15" hidden="1">
      <c r="G146" s="34"/>
      <c r="H146" s="39">
        <f aca="true" t="shared" si="116" ref="H146:N146">IF(H147&gt;=H115,H115-1,H147)</f>
        <v>14640</v>
      </c>
      <c r="I146" s="39">
        <f t="shared" si="116"/>
        <v>15040</v>
      </c>
      <c r="J146" s="39">
        <f t="shared" si="116"/>
        <v>15040</v>
      </c>
      <c r="K146" s="39">
        <f t="shared" si="116"/>
        <v>15440</v>
      </c>
      <c r="L146" s="39">
        <f t="shared" si="116"/>
        <v>15440</v>
      </c>
      <c r="M146" s="39">
        <f t="shared" si="116"/>
        <v>15840</v>
      </c>
      <c r="N146" s="39">
        <f t="shared" si="116"/>
        <v>15840</v>
      </c>
      <c r="O146" s="39">
        <f>IF(O147&gt;=O115,O115-1,O147)</f>
        <v>16240</v>
      </c>
      <c r="P146" s="39">
        <f>IF(P147&gt;=P115,P115-1,P147)</f>
        <v>16240</v>
      </c>
      <c r="Q146" s="39">
        <f>IF(Q147&gt;=Q115,Q115-1,Q147)</f>
        <v>15440</v>
      </c>
      <c r="R146" s="39"/>
      <c r="S146" s="39"/>
      <c r="T146" s="39"/>
      <c r="U146" s="39"/>
      <c r="V146" s="39"/>
      <c r="X146" s="39">
        <f>IF(X147&gt;=X115,X115-1,X147)</f>
        <v>16240</v>
      </c>
      <c r="Y146" s="39">
        <f>IF(Y147&gt;=Y115,Y115-1,Y147)</f>
        <v>16640</v>
      </c>
      <c r="Z146" s="39"/>
      <c r="AA146" s="39"/>
      <c r="AB146" s="39"/>
      <c r="AC146" s="39"/>
      <c r="AD146" s="39"/>
      <c r="AE146" s="43"/>
      <c r="AF146" s="43"/>
      <c r="AG146" s="39"/>
      <c r="AH146" s="39"/>
      <c r="AI146" s="39"/>
      <c r="AJ146" s="39"/>
      <c r="AS146" s="127"/>
      <c r="AT146" s="127"/>
      <c r="AU146" s="127"/>
      <c r="AV146" s="127"/>
      <c r="AW146" s="127"/>
      <c r="AX146" s="127"/>
      <c r="AY146" s="127"/>
      <c r="AZ146" s="127"/>
      <c r="BA146" s="127"/>
      <c r="BB146" s="127"/>
      <c r="BC146" s="127"/>
      <c r="BD146" s="127"/>
      <c r="BE146" s="127"/>
      <c r="BF146" s="127"/>
      <c r="BG146" s="127"/>
      <c r="BH146" s="127"/>
      <c r="BI146" s="127"/>
    </row>
    <row r="147" spans="6:61" ht="15.75" hidden="1">
      <c r="F147" s="319" t="s">
        <v>177</v>
      </c>
      <c r="G147" s="319"/>
      <c r="H147" s="39">
        <f aca="true" t="shared" si="117" ref="H147:N147">H142+H145</f>
        <v>14640</v>
      </c>
      <c r="I147" s="39">
        <f t="shared" si="117"/>
        <v>15040</v>
      </c>
      <c r="J147" s="39">
        <f t="shared" si="117"/>
        <v>15040</v>
      </c>
      <c r="K147" s="39">
        <f t="shared" si="117"/>
        <v>15440</v>
      </c>
      <c r="L147" s="39">
        <f t="shared" si="117"/>
        <v>15440</v>
      </c>
      <c r="M147" s="39">
        <f t="shared" si="117"/>
        <v>15840</v>
      </c>
      <c r="N147" s="39">
        <f t="shared" si="117"/>
        <v>15840</v>
      </c>
      <c r="O147" s="39">
        <f>O142+O145</f>
        <v>16240</v>
      </c>
      <c r="P147" s="39">
        <f>P142+P145</f>
        <v>16240</v>
      </c>
      <c r="Q147" s="39">
        <f>Q142+Q145</f>
        <v>15440</v>
      </c>
      <c r="R147" s="39"/>
      <c r="S147" s="39"/>
      <c r="T147" s="39"/>
      <c r="U147" s="39"/>
      <c r="V147" s="39"/>
      <c r="X147" s="39">
        <f>X142+X145</f>
        <v>16240</v>
      </c>
      <c r="Y147" s="39">
        <f>Y142+Y145</f>
        <v>16640</v>
      </c>
      <c r="Z147" s="39"/>
      <c r="AA147" s="39"/>
      <c r="AB147" s="39"/>
      <c r="AC147" s="39"/>
      <c r="AD147" s="39"/>
      <c r="AE147" s="44"/>
      <c r="AF147" s="44"/>
      <c r="AG147" s="39"/>
      <c r="AH147" s="39"/>
      <c r="AI147" s="39"/>
      <c r="AJ147" s="39"/>
      <c r="AS147" s="127"/>
      <c r="AT147" s="127"/>
      <c r="AU147" s="127"/>
      <c r="AV147" s="127"/>
      <c r="AW147" s="127"/>
      <c r="AX147" s="127"/>
      <c r="AY147" s="127"/>
      <c r="AZ147" s="127"/>
      <c r="BA147" s="127"/>
      <c r="BB147" s="127"/>
      <c r="BC147" s="127"/>
      <c r="BD147" s="127"/>
      <c r="BE147" s="127"/>
      <c r="BF147" s="127"/>
      <c r="BG147" s="127"/>
      <c r="BH147" s="127"/>
      <c r="BI147" s="127"/>
    </row>
    <row r="148" spans="6:61" ht="15" customHeight="1" hidden="1">
      <c r="F148" s="280" t="s">
        <v>171</v>
      </c>
      <c r="G148" s="280"/>
      <c r="H148" s="43" t="str">
        <f>IF(H146&gt;=59250,1400,IF(H146&gt;=54050,1300,IF(H146&gt;=49250,1200,IF(H146&gt;=43750,1100,IF(H146&gt;=39750,1000,IF(H146&gt;=36110,910,IF(H146&gt;=32750,840,"X")))))))</f>
        <v>X</v>
      </c>
      <c r="I148" s="43" t="str">
        <f aca="true" t="shared" si="118" ref="I148:N148">IF(I146&gt;=59250,1400,IF(I146&gt;=54050,1300,IF(I146&gt;=49250,1200,IF(I146&gt;=43750,1100,IF(I146&gt;=39750,1000,IF(I146&gt;=36110,910,IF(I146&gt;=32750,840,"X")))))))</f>
        <v>X</v>
      </c>
      <c r="J148" s="43" t="str">
        <f t="shared" si="118"/>
        <v>X</v>
      </c>
      <c r="K148" s="43" t="str">
        <f t="shared" si="118"/>
        <v>X</v>
      </c>
      <c r="L148" s="43" t="str">
        <f t="shared" si="118"/>
        <v>X</v>
      </c>
      <c r="M148" s="43" t="str">
        <f t="shared" si="118"/>
        <v>X</v>
      </c>
      <c r="N148" s="43" t="str">
        <f t="shared" si="118"/>
        <v>X</v>
      </c>
      <c r="O148" s="43" t="str">
        <f>IF(O146&gt;=59250,1400,IF(O146&gt;=54050,1300,IF(O146&gt;=49250,1200,IF(O146&gt;=43750,1100,IF(O146&gt;=39750,1000,IF(O146&gt;=36110,910,IF(O146&gt;=32750,840,"X")))))))</f>
        <v>X</v>
      </c>
      <c r="P148" s="43" t="str">
        <f>IF(P146&gt;=59250,1400,IF(P146&gt;=54050,1300,IF(P146&gt;=49250,1200,IF(P146&gt;=43750,1100,IF(P146&gt;=39750,1000,IF(P146&gt;=36110,910,IF(P146&gt;=32750,840,"X")))))))</f>
        <v>X</v>
      </c>
      <c r="Q148" s="43" t="str">
        <f>IF(Q146&gt;=59250,1400,IF(Q146&gt;=54050,1300,IF(Q146&gt;=49250,1200,IF(Q146&gt;=43750,1100,IF(Q146&gt;=39750,1000,IF(Q146&gt;=36110,910,IF(Q146&gt;=32750,840,"X")))))))</f>
        <v>X</v>
      </c>
      <c r="R148" s="43"/>
      <c r="S148" s="43"/>
      <c r="T148" s="43"/>
      <c r="U148" s="43"/>
      <c r="V148" s="43"/>
      <c r="X148" s="43" t="str">
        <f>IF(X146&gt;=59250,1400,IF(X146&gt;=54050,1300,IF(X146&gt;=49250,1200,IF(X146&gt;=43750,1100,IF(X146&gt;=39750,1000,IF(X146&gt;=36110,910,IF(X146&gt;=32750,840,"X")))))))</f>
        <v>X</v>
      </c>
      <c r="Y148" s="43" t="str">
        <f>IF(Y146&gt;=59250,1400,IF(Y146&gt;=54050,1300,IF(Y146&gt;=49250,1200,IF(Y146&gt;=43750,1100,IF(Y146&gt;=39750,1000,IF(Y146&gt;=36110,910,IF(Y146&gt;=32750,840,"X")))))))</f>
        <v>X</v>
      </c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S148" s="127"/>
      <c r="AT148" s="127"/>
      <c r="AU148" s="127"/>
      <c r="AV148" s="127"/>
      <c r="AW148" s="127"/>
      <c r="AX148" s="127"/>
      <c r="AY148" s="127"/>
      <c r="AZ148" s="127"/>
      <c r="BA148" s="127"/>
      <c r="BB148" s="127"/>
      <c r="BC148" s="127"/>
      <c r="BD148" s="127"/>
      <c r="BE148" s="127"/>
      <c r="BF148" s="127"/>
      <c r="BG148" s="127"/>
      <c r="BH148" s="127"/>
      <c r="BI148" s="127"/>
    </row>
    <row r="149" spans="6:61" ht="15" hidden="1">
      <c r="F149" s="280"/>
      <c r="G149" s="280"/>
      <c r="H149" s="43">
        <f>IF(H148="x",IF(H146&gt;=29670,770,IF(H146&gt;=26870,700,IF(H146&gt;=23720,630,IF(H146&gt;=21440,570,IF(H146&gt;=18440,500,IF(H146&gt;=16640,450,IF(H146&gt;=14640,400,"x"))))))),H148)</f>
        <v>400</v>
      </c>
      <c r="I149" s="43">
        <f aca="true" t="shared" si="119" ref="I149:N149">IF(I148="x",IF(I146&gt;=29670,770,IF(I146&gt;=26870,700,IF(I146&gt;=23720,630,IF(I146&gt;=21440,570,IF(I146&gt;=18440,500,IF(I146&gt;=16640,450,IF(I146&gt;=14640,400,"x"))))))),I148)</f>
        <v>400</v>
      </c>
      <c r="J149" s="43">
        <f t="shared" si="119"/>
        <v>400</v>
      </c>
      <c r="K149" s="43">
        <f t="shared" si="119"/>
        <v>400</v>
      </c>
      <c r="L149" s="43">
        <f t="shared" si="119"/>
        <v>400</v>
      </c>
      <c r="M149" s="43">
        <f t="shared" si="119"/>
        <v>400</v>
      </c>
      <c r="N149" s="43">
        <f t="shared" si="119"/>
        <v>400</v>
      </c>
      <c r="O149" s="43">
        <f>IF(O148="x",IF(O146&gt;=29670,770,IF(O146&gt;=26870,700,IF(O146&gt;=23720,630,IF(O146&gt;=21440,570,IF(O146&gt;=18440,500,IF(O146&gt;=16640,450,IF(O146&gt;=14640,400,"x"))))))),O148)</f>
        <v>400</v>
      </c>
      <c r="P149" s="43">
        <f>IF(P148="x",IF(P146&gt;=29670,770,IF(P146&gt;=26870,700,IF(P146&gt;=23720,630,IF(P146&gt;=21440,570,IF(P146&gt;=18440,500,IF(P146&gt;=16640,450,IF(P146&gt;=14640,400,"x"))))))),P148)</f>
        <v>400</v>
      </c>
      <c r="Q149" s="43">
        <f>IF(Q148="x",IF(Q146&gt;=29670,770,IF(Q146&gt;=26870,700,IF(Q146&gt;=23720,630,IF(Q146&gt;=21440,570,IF(Q146&gt;=18440,500,IF(Q146&gt;=16640,450,IF(Q146&gt;=14640,400,"x"))))))),Q148)</f>
        <v>400</v>
      </c>
      <c r="R149" s="43"/>
      <c r="S149" s="43"/>
      <c r="T149" s="43"/>
      <c r="U149" s="43"/>
      <c r="V149" s="43"/>
      <c r="X149" s="43">
        <f>IF(X148="x",IF(X146&gt;=29670,770,IF(X146&gt;=26870,700,IF(X146&gt;=23720,630,IF(X146&gt;=21440,570,IF(X146&gt;=18440,500,IF(X146&gt;=16640,450,IF(X146&gt;=14640,400,"x"))))))),X148)</f>
        <v>400</v>
      </c>
      <c r="Y149" s="43">
        <f>IF(Y148="x",IF(Y146&gt;=29670,770,IF(Y146&gt;=26870,700,IF(Y146&gt;=23720,630,IF(Y146&gt;=21440,570,IF(Y146&gt;=18440,500,IF(Y146&gt;=16640,450,IF(Y146&gt;=14640,400,"x"))))))),Y148)</f>
        <v>450</v>
      </c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S149" s="127"/>
      <c r="AT149" s="127"/>
      <c r="AU149" s="127"/>
      <c r="AV149" s="127"/>
      <c r="AW149" s="127"/>
      <c r="AX149" s="127"/>
      <c r="AY149" s="127"/>
      <c r="AZ149" s="127"/>
      <c r="BA149" s="127"/>
      <c r="BB149" s="127"/>
      <c r="BC149" s="127"/>
      <c r="BD149" s="127"/>
      <c r="BE149" s="127"/>
      <c r="BF149" s="127"/>
      <c r="BG149" s="127"/>
      <c r="BH149" s="127"/>
      <c r="BI149" s="127"/>
    </row>
    <row r="150" spans="6:61" ht="15.75" hidden="1">
      <c r="F150" s="280"/>
      <c r="G150" s="280"/>
      <c r="H150" s="44">
        <f aca="true" t="shared" si="120" ref="H150:N150">IF(H149="x",IF(H146&gt;=13200,360,IF(H146&gt;=12210,330,IF(H146&gt;=11010,300,IF(H146&gt;=9930,270,IF(H146&gt;=9430,250,240))))),H149)</f>
        <v>400</v>
      </c>
      <c r="I150" s="44">
        <f t="shared" si="120"/>
        <v>400</v>
      </c>
      <c r="J150" s="44">
        <f t="shared" si="120"/>
        <v>400</v>
      </c>
      <c r="K150" s="44">
        <f t="shared" si="120"/>
        <v>400</v>
      </c>
      <c r="L150" s="44">
        <f t="shared" si="120"/>
        <v>400</v>
      </c>
      <c r="M150" s="44">
        <f t="shared" si="120"/>
        <v>400</v>
      </c>
      <c r="N150" s="44">
        <f t="shared" si="120"/>
        <v>400</v>
      </c>
      <c r="O150" s="44">
        <f>IF(O149="x",IF(O146&gt;=13200,360,IF(O146&gt;=12210,330,IF(O146&gt;=11010,300,IF(O146&gt;=9930,270,IF(O146&gt;=9430,250,240))))),O149)</f>
        <v>400</v>
      </c>
      <c r="P150" s="44">
        <f>IF(P149="x",IF(P146&gt;=13200,360,IF(P146&gt;=12210,330,IF(P146&gt;=11010,300,IF(P146&gt;=9930,270,IF(P146&gt;=9430,250,240))))),P149)</f>
        <v>400</v>
      </c>
      <c r="Q150" s="44">
        <f>IF(Q149="x",IF(Q146&gt;=13200,360,IF(Q146&gt;=12210,330,IF(Q146&gt;=11010,300,IF(Q146&gt;=9930,270,IF(Q146&gt;=9430,250,240))))),Q149)</f>
        <v>400</v>
      </c>
      <c r="R150" s="44"/>
      <c r="S150" s="44"/>
      <c r="T150" s="44"/>
      <c r="U150" s="44"/>
      <c r="V150" s="44"/>
      <c r="X150" s="44">
        <f>IF(X149="x",IF(X146&gt;=13200,360,IF(X146&gt;=12210,330,IF(X146&gt;=11010,300,IF(X146&gt;=9930,270,IF(X146&gt;=9430,250,240))))),X149)</f>
        <v>400</v>
      </c>
      <c r="Y150" s="44">
        <f>IF(Y149="x",IF(Y146&gt;=13200,360,IF(Y146&gt;=12210,330,IF(Y146&gt;=11010,300,IF(Y146&gt;=9930,270,IF(Y146&gt;=9430,250,240))))),Y149)</f>
        <v>450</v>
      </c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S150" s="127"/>
      <c r="AT150" s="127"/>
      <c r="AU150" s="127"/>
      <c r="AV150" s="127"/>
      <c r="AW150" s="127"/>
      <c r="AX150" s="127"/>
      <c r="AY150" s="127"/>
      <c r="AZ150" s="127"/>
      <c r="BA150" s="127"/>
      <c r="BB150" s="127"/>
      <c r="BC150" s="127"/>
      <c r="BD150" s="127"/>
      <c r="BE150" s="127"/>
      <c r="BF150" s="127"/>
      <c r="BG150" s="127"/>
      <c r="BH150" s="127"/>
      <c r="BI150" s="127"/>
    </row>
    <row r="151" spans="7:61" ht="15" hidden="1">
      <c r="G151" s="34"/>
      <c r="H151" s="39">
        <f aca="true" t="shared" si="121" ref="H151:N151">IF(H152&gt;=H115,H115-1,H152)</f>
        <v>15040</v>
      </c>
      <c r="I151" s="39">
        <f t="shared" si="121"/>
        <v>15440</v>
      </c>
      <c r="J151" s="39">
        <f t="shared" si="121"/>
        <v>15440</v>
      </c>
      <c r="K151" s="39">
        <f t="shared" si="121"/>
        <v>15840</v>
      </c>
      <c r="L151" s="39">
        <f t="shared" si="121"/>
        <v>15840</v>
      </c>
      <c r="M151" s="39">
        <f t="shared" si="121"/>
        <v>16240</v>
      </c>
      <c r="N151" s="39">
        <f t="shared" si="121"/>
        <v>16240</v>
      </c>
      <c r="O151" s="39">
        <f>IF(O152&gt;=O115,O115-1,O152)</f>
        <v>16640</v>
      </c>
      <c r="P151" s="39">
        <f>IF(P152&gt;=P115,P115-1,P152)</f>
        <v>16640</v>
      </c>
      <c r="Q151" s="39">
        <f>IF(Q152&gt;=Q115,Q115-1,Q152)</f>
        <v>15840</v>
      </c>
      <c r="R151" s="39"/>
      <c r="S151" s="39"/>
      <c r="T151" s="39"/>
      <c r="U151" s="39"/>
      <c r="V151" s="39"/>
      <c r="X151" s="39">
        <f>IF(X152&gt;=X115,X115-1,X152)</f>
        <v>16640</v>
      </c>
      <c r="Y151" s="39">
        <f>IF(Y152&gt;=Y115,Y115-1,Y152)</f>
        <v>17090</v>
      </c>
      <c r="Z151" s="39"/>
      <c r="AA151" s="39"/>
      <c r="AB151" s="39"/>
      <c r="AC151" s="39"/>
      <c r="AD151" s="39"/>
      <c r="AE151" s="43"/>
      <c r="AF151" s="43"/>
      <c r="AG151" s="39"/>
      <c r="AH151" s="39"/>
      <c r="AI151" s="39"/>
      <c r="AJ151" s="39"/>
      <c r="AS151" s="127"/>
      <c r="AT151" s="127"/>
      <c r="AU151" s="127"/>
      <c r="AV151" s="127"/>
      <c r="AW151" s="127"/>
      <c r="AX151" s="127"/>
      <c r="AY151" s="127"/>
      <c r="AZ151" s="127"/>
      <c r="BA151" s="127"/>
      <c r="BB151" s="127"/>
      <c r="BC151" s="127"/>
      <c r="BD151" s="127"/>
      <c r="BE151" s="127"/>
      <c r="BF151" s="127"/>
      <c r="BG151" s="127"/>
      <c r="BH151" s="127"/>
      <c r="BI151" s="127"/>
    </row>
    <row r="152" spans="6:61" ht="15.75" hidden="1">
      <c r="F152" s="319" t="s">
        <v>178</v>
      </c>
      <c r="G152" s="319"/>
      <c r="H152" s="39">
        <f aca="true" t="shared" si="122" ref="H152:N152">H147+H150</f>
        <v>15040</v>
      </c>
      <c r="I152" s="39">
        <f t="shared" si="122"/>
        <v>15440</v>
      </c>
      <c r="J152" s="39">
        <f t="shared" si="122"/>
        <v>15440</v>
      </c>
      <c r="K152" s="39">
        <f t="shared" si="122"/>
        <v>15840</v>
      </c>
      <c r="L152" s="39">
        <f t="shared" si="122"/>
        <v>15840</v>
      </c>
      <c r="M152" s="39">
        <f t="shared" si="122"/>
        <v>16240</v>
      </c>
      <c r="N152" s="39">
        <f t="shared" si="122"/>
        <v>16240</v>
      </c>
      <c r="O152" s="39">
        <f>O147+O150</f>
        <v>16640</v>
      </c>
      <c r="P152" s="39">
        <f>P147+P150</f>
        <v>16640</v>
      </c>
      <c r="Q152" s="39">
        <f>Q147+Q150</f>
        <v>15840</v>
      </c>
      <c r="R152" s="39"/>
      <c r="S152" s="39"/>
      <c r="T152" s="39"/>
      <c r="U152" s="39"/>
      <c r="V152" s="39"/>
      <c r="X152" s="39">
        <f>X147+X150</f>
        <v>16640</v>
      </c>
      <c r="Y152" s="39">
        <f>Y147+Y150</f>
        <v>17090</v>
      </c>
      <c r="Z152" s="39"/>
      <c r="AA152" s="39"/>
      <c r="AB152" s="39"/>
      <c r="AC152" s="39"/>
      <c r="AD152" s="39"/>
      <c r="AE152" s="44"/>
      <c r="AF152" s="44"/>
      <c r="AG152" s="39"/>
      <c r="AH152" s="39"/>
      <c r="AI152" s="39"/>
      <c r="AJ152" s="39"/>
      <c r="AS152" s="127"/>
      <c r="AT152" s="127"/>
      <c r="AU152" s="127"/>
      <c r="AV152" s="127"/>
      <c r="AW152" s="127"/>
      <c r="AX152" s="127"/>
      <c r="AY152" s="127"/>
      <c r="AZ152" s="127"/>
      <c r="BA152" s="127"/>
      <c r="BB152" s="127"/>
      <c r="BC152" s="127"/>
      <c r="BD152" s="127"/>
      <c r="BE152" s="127"/>
      <c r="BF152" s="127"/>
      <c r="BG152" s="127"/>
      <c r="BH152" s="127"/>
      <c r="BI152" s="127"/>
    </row>
    <row r="153" spans="6:61" ht="15" customHeight="1" hidden="1">
      <c r="F153" s="280" t="s">
        <v>171</v>
      </c>
      <c r="G153" s="280"/>
      <c r="H153" s="43" t="str">
        <f>IF(H151&gt;=59250,1400,IF(H151&gt;=54050,1300,IF(H151&gt;=49250,1200,IF(H151&gt;=43750,1100,IF(H151&gt;=39750,1000,IF(H151&gt;=36110,910,IF(H151&gt;=32750,840,"X")))))))</f>
        <v>X</v>
      </c>
      <c r="I153" s="43" t="str">
        <f aca="true" t="shared" si="123" ref="I153:N153">IF(I151&gt;=59250,1400,IF(I151&gt;=54050,1300,IF(I151&gt;=49250,1200,IF(I151&gt;=43750,1100,IF(I151&gt;=39750,1000,IF(I151&gt;=36110,910,IF(I151&gt;=32750,840,"X")))))))</f>
        <v>X</v>
      </c>
      <c r="J153" s="43" t="str">
        <f t="shared" si="123"/>
        <v>X</v>
      </c>
      <c r="K153" s="43" t="str">
        <f t="shared" si="123"/>
        <v>X</v>
      </c>
      <c r="L153" s="43" t="str">
        <f t="shared" si="123"/>
        <v>X</v>
      </c>
      <c r="M153" s="43" t="str">
        <f t="shared" si="123"/>
        <v>X</v>
      </c>
      <c r="N153" s="43" t="str">
        <f t="shared" si="123"/>
        <v>X</v>
      </c>
      <c r="O153" s="43" t="str">
        <f>IF(O151&gt;=59250,1400,IF(O151&gt;=54050,1300,IF(O151&gt;=49250,1200,IF(O151&gt;=43750,1100,IF(O151&gt;=39750,1000,IF(O151&gt;=36110,910,IF(O151&gt;=32750,840,"X")))))))</f>
        <v>X</v>
      </c>
      <c r="P153" s="43" t="str">
        <f>IF(P151&gt;=59250,1400,IF(P151&gt;=54050,1300,IF(P151&gt;=49250,1200,IF(P151&gt;=43750,1100,IF(P151&gt;=39750,1000,IF(P151&gt;=36110,910,IF(P151&gt;=32750,840,"X")))))))</f>
        <v>X</v>
      </c>
      <c r="Q153" s="43" t="str">
        <f>IF(Q151&gt;=59250,1400,IF(Q151&gt;=54050,1300,IF(Q151&gt;=49250,1200,IF(Q151&gt;=43750,1100,IF(Q151&gt;=39750,1000,IF(Q151&gt;=36110,910,IF(Q151&gt;=32750,840,"X")))))))</f>
        <v>X</v>
      </c>
      <c r="R153" s="43"/>
      <c r="S153" s="43"/>
      <c r="T153" s="43"/>
      <c r="U153" s="43"/>
      <c r="V153" s="43"/>
      <c r="X153" s="43" t="str">
        <f>IF(X151&gt;=59250,1400,IF(X151&gt;=54050,1300,IF(X151&gt;=49250,1200,IF(X151&gt;=43750,1100,IF(X151&gt;=39750,1000,IF(X151&gt;=36110,910,IF(X151&gt;=32750,840,"X")))))))</f>
        <v>X</v>
      </c>
      <c r="Y153" s="43" t="str">
        <f>IF(Y151&gt;=59250,1400,IF(Y151&gt;=54050,1300,IF(Y151&gt;=49250,1200,IF(Y151&gt;=43750,1100,IF(Y151&gt;=39750,1000,IF(Y151&gt;=36110,910,IF(Y151&gt;=32750,840,"X")))))))</f>
        <v>X</v>
      </c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S153" s="127"/>
      <c r="AT153" s="127"/>
      <c r="AU153" s="127"/>
      <c r="AV153" s="127"/>
      <c r="AW153" s="127"/>
      <c r="AX153" s="127"/>
      <c r="AY153" s="127"/>
      <c r="AZ153" s="127"/>
      <c r="BA153" s="127"/>
      <c r="BB153" s="127"/>
      <c r="BC153" s="127"/>
      <c r="BD153" s="127"/>
      <c r="BE153" s="127"/>
      <c r="BF153" s="127"/>
      <c r="BG153" s="127"/>
      <c r="BH153" s="127"/>
      <c r="BI153" s="127"/>
    </row>
    <row r="154" spans="6:61" ht="15" hidden="1">
      <c r="F154" s="280"/>
      <c r="G154" s="280"/>
      <c r="H154" s="43">
        <f>IF(H153="x",IF(H151&gt;=29670,770,IF(H151&gt;=26870,700,IF(H151&gt;=23720,630,IF(H151&gt;=21440,570,IF(H151&gt;=18440,500,IF(H151&gt;=16640,450,IF(H151&gt;=14640,400,"x"))))))),H153)</f>
        <v>400</v>
      </c>
      <c r="I154" s="43">
        <f aca="true" t="shared" si="124" ref="I154:N154">IF(I153="x",IF(I151&gt;=29670,770,IF(I151&gt;=26870,700,IF(I151&gt;=23720,630,IF(I151&gt;=21440,570,IF(I151&gt;=18440,500,IF(I151&gt;=16640,450,IF(I151&gt;=14640,400,"x"))))))),I153)</f>
        <v>400</v>
      </c>
      <c r="J154" s="43">
        <f t="shared" si="124"/>
        <v>400</v>
      </c>
      <c r="K154" s="43">
        <f t="shared" si="124"/>
        <v>400</v>
      </c>
      <c r="L154" s="43">
        <f t="shared" si="124"/>
        <v>400</v>
      </c>
      <c r="M154" s="43">
        <f t="shared" si="124"/>
        <v>400</v>
      </c>
      <c r="N154" s="43">
        <f t="shared" si="124"/>
        <v>400</v>
      </c>
      <c r="O154" s="43">
        <f>IF(O153="x",IF(O151&gt;=29670,770,IF(O151&gt;=26870,700,IF(O151&gt;=23720,630,IF(O151&gt;=21440,570,IF(O151&gt;=18440,500,IF(O151&gt;=16640,450,IF(O151&gt;=14640,400,"x"))))))),O153)</f>
        <v>450</v>
      </c>
      <c r="P154" s="43">
        <f>IF(P153="x",IF(P151&gt;=29670,770,IF(P151&gt;=26870,700,IF(P151&gt;=23720,630,IF(P151&gt;=21440,570,IF(P151&gt;=18440,500,IF(P151&gt;=16640,450,IF(P151&gt;=14640,400,"x"))))))),P153)</f>
        <v>450</v>
      </c>
      <c r="Q154" s="43">
        <f>IF(Q153="x",IF(Q151&gt;=29670,770,IF(Q151&gt;=26870,700,IF(Q151&gt;=23720,630,IF(Q151&gt;=21440,570,IF(Q151&gt;=18440,500,IF(Q151&gt;=16640,450,IF(Q151&gt;=14640,400,"x"))))))),Q153)</f>
        <v>400</v>
      </c>
      <c r="R154" s="43"/>
      <c r="S154" s="43"/>
      <c r="T154" s="43"/>
      <c r="U154" s="43"/>
      <c r="V154" s="43"/>
      <c r="X154" s="43">
        <f>IF(X153="x",IF(X151&gt;=29670,770,IF(X151&gt;=26870,700,IF(X151&gt;=23720,630,IF(X151&gt;=21440,570,IF(X151&gt;=18440,500,IF(X151&gt;=16640,450,IF(X151&gt;=14640,400,"x"))))))),X153)</f>
        <v>450</v>
      </c>
      <c r="Y154" s="43">
        <f>IF(Y153="x",IF(Y151&gt;=29670,770,IF(Y151&gt;=26870,700,IF(Y151&gt;=23720,630,IF(Y151&gt;=21440,570,IF(Y151&gt;=18440,500,IF(Y151&gt;=16640,450,IF(Y151&gt;=14640,400,"x"))))))),Y153)</f>
        <v>450</v>
      </c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S154" s="127"/>
      <c r="AT154" s="127"/>
      <c r="AU154" s="127"/>
      <c r="AV154" s="127"/>
      <c r="AW154" s="127"/>
      <c r="AX154" s="127"/>
      <c r="AY154" s="127"/>
      <c r="AZ154" s="127"/>
      <c r="BA154" s="127"/>
      <c r="BB154" s="127"/>
      <c r="BC154" s="127"/>
      <c r="BD154" s="127"/>
      <c r="BE154" s="127"/>
      <c r="BF154" s="127"/>
      <c r="BG154" s="127"/>
      <c r="BH154" s="127"/>
      <c r="BI154" s="127"/>
    </row>
    <row r="155" spans="6:61" ht="15.75" hidden="1">
      <c r="F155" s="280"/>
      <c r="G155" s="280"/>
      <c r="H155" s="44">
        <f aca="true" t="shared" si="125" ref="H155:N155">IF(H154="x",IF(H151&gt;=13200,360,IF(H151&gt;=12210,330,IF(H151&gt;=11010,300,IF(H151&gt;=9930,270,IF(H151&gt;=9430,250,240))))),H154)</f>
        <v>400</v>
      </c>
      <c r="I155" s="44">
        <f t="shared" si="125"/>
        <v>400</v>
      </c>
      <c r="J155" s="44">
        <f t="shared" si="125"/>
        <v>400</v>
      </c>
      <c r="K155" s="44">
        <f t="shared" si="125"/>
        <v>400</v>
      </c>
      <c r="L155" s="44">
        <f t="shared" si="125"/>
        <v>400</v>
      </c>
      <c r="M155" s="44">
        <f t="shared" si="125"/>
        <v>400</v>
      </c>
      <c r="N155" s="44">
        <f t="shared" si="125"/>
        <v>400</v>
      </c>
      <c r="O155" s="44">
        <f>IF(O154="x",IF(O151&gt;=13200,360,IF(O151&gt;=12210,330,IF(O151&gt;=11010,300,IF(O151&gt;=9930,270,IF(O151&gt;=9430,250,240))))),O154)</f>
        <v>450</v>
      </c>
      <c r="P155" s="44">
        <f>IF(P154="x",IF(P151&gt;=13200,360,IF(P151&gt;=12210,330,IF(P151&gt;=11010,300,IF(P151&gt;=9930,270,IF(P151&gt;=9430,250,240))))),P154)</f>
        <v>450</v>
      </c>
      <c r="Q155" s="44">
        <f>IF(Q154="x",IF(Q151&gt;=13200,360,IF(Q151&gt;=12210,330,IF(Q151&gt;=11010,300,IF(Q151&gt;=9930,270,IF(Q151&gt;=9430,250,240))))),Q154)</f>
        <v>400</v>
      </c>
      <c r="R155" s="44"/>
      <c r="S155" s="44"/>
      <c r="T155" s="44"/>
      <c r="U155" s="44"/>
      <c r="V155" s="44"/>
      <c r="X155" s="44">
        <f>IF(X154="x",IF(X151&gt;=13200,360,IF(X151&gt;=12210,330,IF(X151&gt;=11010,300,IF(X151&gt;=9930,270,IF(X151&gt;=9430,250,240))))),X154)</f>
        <v>450</v>
      </c>
      <c r="Y155" s="44">
        <f>IF(Y154="x",IF(Y151&gt;=13200,360,IF(Y151&gt;=12210,330,IF(Y151&gt;=11010,300,IF(Y151&gt;=9930,270,IF(Y151&gt;=9430,250,240))))),Y154)</f>
        <v>450</v>
      </c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S155" s="127"/>
      <c r="AT155" s="127"/>
      <c r="AU155" s="127"/>
      <c r="AV155" s="127"/>
      <c r="AW155" s="127"/>
      <c r="AX155" s="127"/>
      <c r="AY155" s="127"/>
      <c r="AZ155" s="127"/>
      <c r="BA155" s="127"/>
      <c r="BB155" s="127"/>
      <c r="BC155" s="127"/>
      <c r="BD155" s="127"/>
      <c r="BE155" s="127"/>
      <c r="BF155" s="127"/>
      <c r="BG155" s="127"/>
      <c r="BH155" s="127"/>
      <c r="BI155" s="127"/>
    </row>
    <row r="156" spans="7:61" ht="15" hidden="1">
      <c r="G156" s="34"/>
      <c r="H156" s="39">
        <f aca="true" t="shared" si="126" ref="H156:N156">IF(H157&gt;=H115,H115-1,H157)</f>
        <v>15440</v>
      </c>
      <c r="I156" s="39">
        <f t="shared" si="126"/>
        <v>15840</v>
      </c>
      <c r="J156" s="39">
        <f t="shared" si="126"/>
        <v>15840</v>
      </c>
      <c r="K156" s="39">
        <f t="shared" si="126"/>
        <v>16240</v>
      </c>
      <c r="L156" s="39">
        <f t="shared" si="126"/>
        <v>16240</v>
      </c>
      <c r="M156" s="39">
        <f t="shared" si="126"/>
        <v>16640</v>
      </c>
      <c r="N156" s="39">
        <f t="shared" si="126"/>
        <v>16640</v>
      </c>
      <c r="O156" s="39">
        <f>IF(O157&gt;=O115,O115-1,O157)</f>
        <v>17090</v>
      </c>
      <c r="P156" s="39">
        <f>IF(P157&gt;=P115,P115-1,P157)</f>
        <v>17090</v>
      </c>
      <c r="Q156" s="39">
        <f>IF(Q157&gt;=Q115,Q115-1,Q157)</f>
        <v>16240</v>
      </c>
      <c r="R156" s="39"/>
      <c r="S156" s="39"/>
      <c r="T156" s="39"/>
      <c r="U156" s="39"/>
      <c r="V156" s="39"/>
      <c r="X156" s="39">
        <f>IF(X157&gt;=X115,X115-1,X157)</f>
        <v>17090</v>
      </c>
      <c r="Y156" s="39">
        <f>IF(Y157&gt;=Y115,Y115-1,Y157)</f>
        <v>17540</v>
      </c>
      <c r="Z156" s="39"/>
      <c r="AA156" s="39"/>
      <c r="AB156" s="39"/>
      <c r="AC156" s="39"/>
      <c r="AD156" s="39"/>
      <c r="AE156" s="43"/>
      <c r="AF156" s="43"/>
      <c r="AG156" s="39"/>
      <c r="AH156" s="39"/>
      <c r="AI156" s="39"/>
      <c r="AJ156" s="39"/>
      <c r="AS156" s="127"/>
      <c r="AT156" s="127"/>
      <c r="AU156" s="127"/>
      <c r="AV156" s="127"/>
      <c r="AW156" s="127"/>
      <c r="AX156" s="127"/>
      <c r="AY156" s="127"/>
      <c r="AZ156" s="127"/>
      <c r="BA156" s="127"/>
      <c r="BB156" s="127"/>
      <c r="BC156" s="127"/>
      <c r="BD156" s="127"/>
      <c r="BE156" s="127"/>
      <c r="BF156" s="127"/>
      <c r="BG156" s="127"/>
      <c r="BH156" s="127"/>
      <c r="BI156" s="127"/>
    </row>
    <row r="157" spans="6:61" ht="15.75" hidden="1">
      <c r="F157" s="319" t="s">
        <v>179</v>
      </c>
      <c r="G157" s="319"/>
      <c r="H157" s="39">
        <f aca="true" t="shared" si="127" ref="H157:N157">H152+H155</f>
        <v>15440</v>
      </c>
      <c r="I157" s="39">
        <f t="shared" si="127"/>
        <v>15840</v>
      </c>
      <c r="J157" s="39">
        <f t="shared" si="127"/>
        <v>15840</v>
      </c>
      <c r="K157" s="39">
        <f t="shared" si="127"/>
        <v>16240</v>
      </c>
      <c r="L157" s="39">
        <f t="shared" si="127"/>
        <v>16240</v>
      </c>
      <c r="M157" s="39">
        <f t="shared" si="127"/>
        <v>16640</v>
      </c>
      <c r="N157" s="39">
        <f t="shared" si="127"/>
        <v>16640</v>
      </c>
      <c r="O157" s="39">
        <f>O152+O155</f>
        <v>17090</v>
      </c>
      <c r="P157" s="39">
        <f>P152+P155</f>
        <v>17090</v>
      </c>
      <c r="Q157" s="39">
        <f>Q152+Q155</f>
        <v>16240</v>
      </c>
      <c r="R157" s="39"/>
      <c r="S157" s="39"/>
      <c r="T157" s="39"/>
      <c r="U157" s="39"/>
      <c r="V157" s="39"/>
      <c r="X157" s="39">
        <f>X152+X155</f>
        <v>17090</v>
      </c>
      <c r="Y157" s="39">
        <f>Y152+Y155</f>
        <v>17540</v>
      </c>
      <c r="Z157" s="39"/>
      <c r="AA157" s="39"/>
      <c r="AB157" s="39"/>
      <c r="AC157" s="39"/>
      <c r="AD157" s="39"/>
      <c r="AE157" s="44"/>
      <c r="AF157" s="44"/>
      <c r="AG157" s="39"/>
      <c r="AH157" s="39"/>
      <c r="AI157" s="39"/>
      <c r="AJ157" s="39"/>
      <c r="AS157" s="127"/>
      <c r="AT157" s="127"/>
      <c r="AU157" s="127"/>
      <c r="AV157" s="127"/>
      <c r="AW157" s="127"/>
      <c r="AX157" s="127"/>
      <c r="AY157" s="127"/>
      <c r="AZ157" s="127"/>
      <c r="BA157" s="127"/>
      <c r="BB157" s="127"/>
      <c r="BC157" s="127"/>
      <c r="BD157" s="127"/>
      <c r="BE157" s="127"/>
      <c r="BF157" s="127"/>
      <c r="BG157" s="127"/>
      <c r="BH157" s="127"/>
      <c r="BI157" s="127"/>
    </row>
    <row r="158" spans="45:61" ht="15" hidden="1">
      <c r="AS158" s="127"/>
      <c r="AT158" s="127"/>
      <c r="AU158" s="127"/>
      <c r="AV158" s="127"/>
      <c r="AW158" s="127"/>
      <c r="AX158" s="127"/>
      <c r="AY158" s="127"/>
      <c r="AZ158" s="127"/>
      <c r="BA158" s="127"/>
      <c r="BB158" s="127"/>
      <c r="BC158" s="127"/>
      <c r="BD158" s="127"/>
      <c r="BE158" s="127"/>
      <c r="BF158" s="127"/>
      <c r="BG158" s="127"/>
      <c r="BH158" s="127"/>
      <c r="BI158" s="127"/>
    </row>
    <row r="159" spans="5:61" ht="15" hidden="1">
      <c r="E159" s="310" t="s">
        <v>222</v>
      </c>
      <c r="F159" s="310"/>
      <c r="G159" s="310"/>
      <c r="H159" s="310"/>
      <c r="I159" s="310"/>
      <c r="J159" s="310"/>
      <c r="K159" s="310"/>
      <c r="L159" s="310"/>
      <c r="M159" s="310"/>
      <c r="N159" s="310"/>
      <c r="O159" s="310"/>
      <c r="P159" s="310"/>
      <c r="Q159" s="310"/>
      <c r="R159" s="168"/>
      <c r="AS159" s="127"/>
      <c r="AT159" s="127"/>
      <c r="AU159" s="127"/>
      <c r="AV159" s="127"/>
      <c r="AW159" s="127"/>
      <c r="AX159" s="127"/>
      <c r="AY159" s="127"/>
      <c r="AZ159" s="127"/>
      <c r="BA159" s="127"/>
      <c r="BB159" s="127"/>
      <c r="BC159" s="127"/>
      <c r="BD159" s="127"/>
      <c r="BE159" s="127"/>
      <c r="BF159" s="127"/>
      <c r="BG159" s="127"/>
      <c r="BH159" s="127"/>
      <c r="BI159" s="127"/>
    </row>
    <row r="160" spans="8:61" ht="15" hidden="1">
      <c r="H160" s="57">
        <v>1</v>
      </c>
      <c r="I160" s="57">
        <f>IF(Q85=I85,10,IF(I161=I85,2,10))</f>
        <v>2</v>
      </c>
      <c r="J160" s="57">
        <f>IF(Q85=J85,10,IF(I160=10,11,IF(J161=J85,3,10)))</f>
        <v>3</v>
      </c>
      <c r="K160" s="57">
        <f>IF(Q85=K85,10,IF(J160=10,11,IF(J160=11,12,IF(K161=K85,4,10))))</f>
        <v>4</v>
      </c>
      <c r="L160" s="57">
        <f>IF(Q85=L85,10,IF(K160=10,11,IF(K160=11,12,IF(K160=12," ",IF(L161=L85,5,10)))))</f>
        <v>5</v>
      </c>
      <c r="M160" s="57">
        <f>IF(Q85=M85,10,IF(L160=10,11,IF(L160=11,12,IF(L160=12," ",IF(L160=" "," ",IF(M161=M85,6,10))))))</f>
        <v>10</v>
      </c>
      <c r="N160" s="57">
        <f>IF(Q85=N85,10,IF(M160=10,11,IF(M160=11,12,IF(M160=12," ",IF(M160=" "," ",IF(N161=N85,7,10))))))</f>
        <v>11</v>
      </c>
      <c r="O160" s="57">
        <f>IF(Q85=O85,10,IF(N160=10,11,IF(N160=11,12,IF(N160=12," ",IF(N160=" "," ",IF(O161=O85,8,10))))))</f>
        <v>12</v>
      </c>
      <c r="P160" s="57" t="str">
        <f>IF(Q85=P85,10,IF(O160=10,11,IF(O160=11,12,IF(O160=12," ",IF(O160=" "," ",IF(P161=P85,9,10))))))</f>
        <v> </v>
      </c>
      <c r="Q160" s="57" t="str">
        <f>IF(P160=10,11,IF(P160=11,12,IF(P160=12," ",IF(P160=" "," ",IF(Q161=Q85,10,10)))))</f>
        <v> </v>
      </c>
      <c r="R160" s="158"/>
      <c r="AS160" s="127"/>
      <c r="AT160" s="127"/>
      <c r="AU160" s="127"/>
      <c r="AV160" s="127"/>
      <c r="AW160" s="127"/>
      <c r="AX160" s="127"/>
      <c r="AY160" s="127"/>
      <c r="AZ160" s="127"/>
      <c r="BA160" s="127"/>
      <c r="BB160" s="127"/>
      <c r="BC160" s="127"/>
      <c r="BD160" s="127"/>
      <c r="BE160" s="127"/>
      <c r="BF160" s="127"/>
      <c r="BG160" s="127"/>
      <c r="BH160" s="127"/>
      <c r="BI160" s="127"/>
    </row>
    <row r="161" spans="5:61" ht="15" hidden="1">
      <c r="E161" s="260" t="s">
        <v>223</v>
      </c>
      <c r="F161" s="260"/>
      <c r="G161" s="260"/>
      <c r="H161" s="115">
        <f>H85</f>
        <v>39995</v>
      </c>
      <c r="I161" s="115">
        <f>IF(J38=" ",I85,IF(J38&gt;I85,I85,J38))</f>
        <v>40210</v>
      </c>
      <c r="J161" s="115">
        <f>IF(J38=" ",J85,IF(J38&gt;J85,J85,J38))</f>
        <v>40226</v>
      </c>
      <c r="K161" s="115">
        <f>IF(J38=" ",K85,IF(J38&gt;K85,K85,IF(J160=11,IF(D225&lt;&gt;"Option B"," ",Y85),X85)))</f>
        <v>40575</v>
      </c>
      <c r="L161" s="115">
        <f>IF(J38=" ",L85,IF(J38&gt;L85,L85,IF(K160=12," ",IF(K160=11,IF(D225&lt;&gt;"Option B"," ",Y85),X85))))</f>
        <v>40591</v>
      </c>
      <c r="M161" s="115">
        <f>IF(J38=" ",M85,IF(J38&gt;M85,M85,IF(L160=" "," ",IF(L160=12," ",IF(L160=11,IF(D225&lt;&gt;"Option B"," ",Y85),X85)))))</f>
        <v>40781</v>
      </c>
      <c r="N161" s="115">
        <f>IF(J38=" ",N85,IF(J38&gt;N85,N85,IF(M160=12," ",IF(M160=" "," ",IF(M160=11,IF(D225&lt;&gt;"Option B"," ",Y85),X85)))))</f>
        <v>40781</v>
      </c>
      <c r="O161" s="115">
        <f>IF(J38=" ",O85,IF(J38&gt;O85,O85,IF(N160=12," ",IF(N160=" "," ",IF(N160=11,IF(D225&lt;&gt;"Option B"," ",Y85),X85)))))</f>
        <v>40940</v>
      </c>
      <c r="P161" s="115" t="str">
        <f>IF(J38=" ",P85,IF(J38&gt;P85,P85,IF(O160=" "," ",IF(O160=12," ",IF(O160=11,IF(D225&lt;&gt;"Option B"," ",Y85),X85)))))</f>
        <v> </v>
      </c>
      <c r="Q161" s="115" t="str">
        <f>IF(J38=" "," ",IF(P160=" "," ",IF(P160=12," ",IF(P160=14,AB85,IF(P160=13,AA85,IF(P160=12,Z85,IF(P160=11,IF(D225&lt;&gt;"Option B"," ",Y85),X85)))))))</f>
        <v> </v>
      </c>
      <c r="R161" s="159"/>
      <c r="U161" s="156">
        <f>H161</f>
        <v>39995</v>
      </c>
      <c r="V161" s="156">
        <f>IF(I161&gt;R2," ",I161)</f>
        <v>40210</v>
      </c>
      <c r="W161" s="156">
        <f>IF(J161&gt;R2," ",J161)</f>
        <v>40226</v>
      </c>
      <c r="X161" s="156">
        <f>IF(K161&gt;R2," ",K161)</f>
        <v>40575</v>
      </c>
      <c r="Y161" s="156">
        <f>IF(L161&gt;R2," ",L161)</f>
        <v>40591</v>
      </c>
      <c r="Z161" s="156">
        <f>IF(M161&gt;R2," ",M161)</f>
        <v>40781</v>
      </c>
      <c r="AA161" s="156">
        <f>IF(N161&gt;R2," ",N161)</f>
        <v>40781</v>
      </c>
      <c r="AB161" s="156">
        <f>IF(O161&gt;R2," ",O161)</f>
        <v>40940</v>
      </c>
      <c r="AC161" s="156" t="str">
        <f>IF(P161&gt;R2," ",P161)</f>
        <v> </v>
      </c>
      <c r="AD161" s="156" t="str">
        <f>Q161</f>
        <v> </v>
      </c>
      <c r="AE161" s="156"/>
      <c r="AF161" s="156">
        <f>MAX(U161:AD161)</f>
        <v>40940</v>
      </c>
      <c r="AS161" s="127"/>
      <c r="AT161" s="127"/>
      <c r="AU161" s="127"/>
      <c r="AV161" s="127"/>
      <c r="AW161" s="127"/>
      <c r="AX161" s="127"/>
      <c r="AY161" s="127"/>
      <c r="AZ161" s="127"/>
      <c r="BA161" s="127"/>
      <c r="BB161" s="127"/>
      <c r="BC161" s="127"/>
      <c r="BD161" s="127"/>
      <c r="BE161" s="127"/>
      <c r="BF161" s="127"/>
      <c r="BG161" s="127"/>
      <c r="BH161" s="127"/>
      <c r="BI161" s="127"/>
    </row>
    <row r="162" spans="5:61" ht="44.25" customHeight="1" hidden="1">
      <c r="E162" s="267" t="s">
        <v>33</v>
      </c>
      <c r="F162" s="267"/>
      <c r="G162" s="267"/>
      <c r="H162" s="116" t="s">
        <v>193</v>
      </c>
      <c r="I162" s="116" t="str">
        <f>IF(I160=2,"Lower Post",IF(I160=10,"Lower Post"))</f>
        <v>Lower Post</v>
      </c>
      <c r="J162" s="116" t="str">
        <f>IF(J160=3,"Lower Post",IF(J160=10,"Lower Post",IF(J160=11,X86)))</f>
        <v>Lower Post</v>
      </c>
      <c r="K162" s="116" t="str">
        <f>IF(K160=4,"Lower Post",IF(K160=10,"Lower Post",IF(K160=11,X86,IF(K160=12,Y86))))</f>
        <v>Lower Post</v>
      </c>
      <c r="L162" s="116" t="str">
        <f>IF(L160=5,"Lower Post",IF(L160=10,"Lower Post",IF(L160=11,X86,IF(L160=12,Y86,IF(L160=13,Z86)))))</f>
        <v>Lower Post</v>
      </c>
      <c r="M162" s="116" t="str">
        <f>IF(M160=6,"Lower Post",IF(M160=10,"Lower Post",IF(M160=11,X86,IF(M160=12,Y86,IF(M160=13,Z86,IF(M160=14,AA86))))))</f>
        <v>Lower Post</v>
      </c>
      <c r="N162" s="116" t="str">
        <f>IF(N160=7,"Lower Post",IF(N160=10,"Lower Post",IF(N160=11,X86,IF(N160=12,Y86,IF(N160=13,Z86,IF(N160=14,AA86,IF(N160=15,AB86)))))))</f>
        <v>Higher Post Option A</v>
      </c>
      <c r="O162" s="116" t="str">
        <f>IF(O160=8,"Lower Post",IF(O160=10,"Lower Post",IF(O160=11,X86,IF(O160=12,Y86,IF(O160=13,Z86,IF(O160=14,AA86,IF(O160=15,AB86)))))))</f>
        <v>Higher Post Option B</v>
      </c>
      <c r="P162" s="116" t="b">
        <f>IF(P160=9,"Lower Post",IF(P160=10,"Lower Post",IF(P160=11,X86,IF(P160=12,Y86,IF(P160=13,Z86,IF(P160=14,AA86,IF(P160=15,AB86)))))))</f>
        <v>0</v>
      </c>
      <c r="Q162" s="116" t="b">
        <f>IF(Q160=10,"Lower Post",IF(Q160=11,X86,IF(Q160=12,Y86,IF(Q160=13,Z86,IF(Q160=14,AA86,IF(Q160=15,AB86))))))</f>
        <v>0</v>
      </c>
      <c r="R162" s="160"/>
      <c r="U162" s="157" t="str">
        <f>H162</f>
        <v>Lower Post</v>
      </c>
      <c r="V162" s="157" t="str">
        <f aca="true" t="shared" si="128" ref="V162:AA162">I162</f>
        <v>Lower Post</v>
      </c>
      <c r="W162" s="157" t="str">
        <f t="shared" si="128"/>
        <v>Lower Post</v>
      </c>
      <c r="X162" s="157" t="str">
        <f t="shared" si="128"/>
        <v>Lower Post</v>
      </c>
      <c r="Y162" s="157" t="str">
        <f t="shared" si="128"/>
        <v>Lower Post</v>
      </c>
      <c r="Z162" s="157" t="str">
        <f t="shared" si="128"/>
        <v>Lower Post</v>
      </c>
      <c r="AA162" s="157" t="str">
        <f t="shared" si="128"/>
        <v>Higher Post Option A</v>
      </c>
      <c r="AB162" s="157" t="str">
        <f>O162</f>
        <v>Higher Post Option B</v>
      </c>
      <c r="AC162" s="157" t="b">
        <f>P162</f>
        <v>0</v>
      </c>
      <c r="AD162" s="157" t="b">
        <f>Q162</f>
        <v>0</v>
      </c>
      <c r="AE162" s="157"/>
      <c r="AS162" s="127"/>
      <c r="AT162" s="127"/>
      <c r="AU162" s="127"/>
      <c r="AV162" s="127"/>
      <c r="AW162" s="127"/>
      <c r="AX162" s="127"/>
      <c r="AY162" s="127"/>
      <c r="AZ162" s="127"/>
      <c r="BA162" s="127"/>
      <c r="BB162" s="127"/>
      <c r="BC162" s="127"/>
      <c r="BD162" s="127"/>
      <c r="BE162" s="127"/>
      <c r="BF162" s="127"/>
      <c r="BG162" s="127"/>
      <c r="BH162" s="127"/>
      <c r="BI162" s="127"/>
    </row>
    <row r="163" spans="5:61" ht="15" hidden="1">
      <c r="E163" s="260" t="s">
        <v>224</v>
      </c>
      <c r="F163" s="260"/>
      <c r="G163" s="260"/>
      <c r="H163" s="57">
        <f>H87</f>
        <v>3</v>
      </c>
      <c r="I163" s="57">
        <f>IF(I160=10,Q87,I87)</f>
        <v>3</v>
      </c>
      <c r="J163" s="57">
        <f>IF(J160=10,Q87,IF(J160=11,X87,J87))</f>
        <v>4</v>
      </c>
      <c r="K163" s="57">
        <f>IF(K160=10,Q87,IF(K160=11,X87,IF(K160=12,Y87,K87)))</f>
        <v>4</v>
      </c>
      <c r="L163" s="57">
        <f>IF(L160=10,Q87,IF(L160=11,X87,IF(L160=12,Y87,IF(L160=13,Z87,L87))))</f>
        <v>5</v>
      </c>
      <c r="M163" s="57">
        <f>IF(M160=10,Q87,IF(M160=11,X87,IF(M160=12,Y87,IF(M160=13,Z87,IF(M160=14,AA87,M87)))))</f>
        <v>5</v>
      </c>
      <c r="N163" s="57">
        <f>IF(N160=" "," ",IF(N160=10,Q87,IF(N160=11,X87,IF(N160=12,Y87,IF(N160=13,Z87,IF(N160=14,AA87,IF(N160=15,AB87,N87)))))))</f>
        <v>5</v>
      </c>
      <c r="O163" s="57">
        <f>IF(O160=" "," ",IF(O160=10,Q87,IF(O160=11,X87,IF(O160=12,Y87,IF(O160=13,Z87,IF(O160=14,AA87,IF(O160=15,AB87,O87)))))))</f>
        <v>5</v>
      </c>
      <c r="P163" s="57" t="str">
        <f>IF(P160=" "," ",IF(P160=10,Q87,IF(P160=11,X87,IF(P160=12,Y87,IF(P160=13,Z87,IF(P160=14,AA87,IF(P160=15,AB87,P87)))))))</f>
        <v> </v>
      </c>
      <c r="Q163" s="57" t="str">
        <f>IF(Q160=" "," ",IF(Q160=10,Q87,IF(Q160=11,X87,IF(Q160=12,Y87,IF(Q160=13,Z87,IF(Q160=14,AA87,IF(Q160=15,AB87,Q87)))))))</f>
        <v> </v>
      </c>
      <c r="R163" s="158"/>
      <c r="S163" s="156">
        <f>U161</f>
        <v>39995</v>
      </c>
      <c r="U163">
        <f>H180</f>
        <v>12540</v>
      </c>
      <c r="AS163" s="127"/>
      <c r="AT163" s="127"/>
      <c r="AU163" s="127"/>
      <c r="AV163" s="127"/>
      <c r="AW163" s="127"/>
      <c r="AX163" s="127"/>
      <c r="AY163" s="127"/>
      <c r="AZ163" s="127"/>
      <c r="BA163" s="127"/>
      <c r="BB163" s="127"/>
      <c r="BC163" s="127"/>
      <c r="BD163" s="127"/>
      <c r="BE163" s="127"/>
      <c r="BF163" s="127"/>
      <c r="BG163" s="127"/>
      <c r="BH163" s="127"/>
      <c r="BI163" s="127"/>
    </row>
    <row r="164" spans="5:61" ht="15" hidden="1">
      <c r="E164" s="260" t="s">
        <v>225</v>
      </c>
      <c r="F164" s="260"/>
      <c r="G164" s="260"/>
      <c r="H164" s="117">
        <f>H88+H89+H90</f>
        <v>6870</v>
      </c>
      <c r="I164" s="57">
        <f>IF(I160=10,Q88,I88+I89+I90)</f>
        <v>7050</v>
      </c>
      <c r="J164" s="57">
        <f>IF(J160=10,Q88,IF(J160=11,X88,J88+J89+J90))</f>
        <v>7050</v>
      </c>
      <c r="K164" s="57">
        <f>IF(K160=10,Q88,IF(K160=11,X88,IF(K160=12,Y88,K88+K89+K90)))</f>
        <v>7230</v>
      </c>
      <c r="L164" s="57">
        <f>IF(L160=10,Q88,IF(L160=11,X88,IF(L160=12,Y88,IF(L160=" "," ",L88+L89+L90))))</f>
        <v>7230</v>
      </c>
      <c r="M164" s="57">
        <f>IF(M160=10,Q88,IF(M160=11,X88,IF(M160=12,Y88,IF(M160=" "," ",M88+M89+M90))))</f>
        <v>7230</v>
      </c>
      <c r="N164" s="57">
        <f>IF(N160=" "," ",IF(N160=10,Q88,IF(N160=11,X88,IF(N160=12,Y88,IF(N160=13,Z88,IF(N160=14,AA88,IF(N160=15,AB88,N88+N89+N90)))))))</f>
        <v>7600</v>
      </c>
      <c r="O164" s="57">
        <f>IF(O160=" "," ",IF(O160=10,Q88,IF(O160=11,X88,IF(O160=12,Y88,IF(O160=13,Z88,IF(O160=14,AA88,IF(O160=15,AB88,O88+O89+O90)))))))</f>
        <v>7790</v>
      </c>
      <c r="P164" s="57" t="str">
        <f>IF(P160=" "," ",IF(P160=10,Q88,IF(P160=11,X88,IF(P160=12,Y88,IF(P160=13,Z88,IF(P160=14,AA88,IF(P160=15,AB88,P88+P89+P90)))))))</f>
        <v> </v>
      </c>
      <c r="Q164" s="57" t="str">
        <f>IF(Q160=" "," ",IF(Q160=10,Q88,IF(Q160=11,X88,IF(Q160=12,Y88,IF(Q160=13,Z88,IF(Q160=14,AA88,IF(Q160=15,AB88,Q88+Q89+Q90)))))))</f>
        <v> </v>
      </c>
      <c r="R164" s="158"/>
      <c r="S164" s="156">
        <f>V161</f>
        <v>40210</v>
      </c>
      <c r="U164">
        <f>IF(DATE(YEAR(U161)+3,MONTH(U161),DAY(1))&lt;=S164,H198,IF(DATE(YEAR(U161)+2,MONTH(U161),DAY(1))&lt;=S164,H192,IF(DATE(YEAR(U161)+1,MONTH(U161),DAY(1))&lt;=S164,H186,H180)))</f>
        <v>12540</v>
      </c>
      <c r="V164">
        <f>I180</f>
        <v>12870</v>
      </c>
      <c r="AS164" s="127"/>
      <c r="AT164" s="127"/>
      <c r="AU164" s="127"/>
      <c r="AV164" s="127"/>
      <c r="AW164" s="127"/>
      <c r="AX164" s="127"/>
      <c r="AY164" s="127"/>
      <c r="AZ164" s="127"/>
      <c r="BA164" s="127"/>
      <c r="BB164" s="127"/>
      <c r="BC164" s="127"/>
      <c r="BD164" s="127"/>
      <c r="BE164" s="127"/>
      <c r="BF164" s="127"/>
      <c r="BG164" s="127"/>
      <c r="BH164" s="127"/>
      <c r="BI164" s="127"/>
    </row>
    <row r="165" spans="5:61" ht="15" hidden="1">
      <c r="E165" s="260" t="s">
        <v>163</v>
      </c>
      <c r="F165" s="260"/>
      <c r="G165" s="260"/>
      <c r="H165" s="57">
        <f>ROUND(H164*0.64,0)</f>
        <v>4397</v>
      </c>
      <c r="I165" s="57">
        <f aca="true" t="shared" si="129" ref="I165:Q165">ROUND(I164*0.64,0)</f>
        <v>4512</v>
      </c>
      <c r="J165" s="57">
        <f t="shared" si="129"/>
        <v>4512</v>
      </c>
      <c r="K165" s="57">
        <f t="shared" si="129"/>
        <v>4627</v>
      </c>
      <c r="L165" s="57">
        <f t="shared" si="129"/>
        <v>4627</v>
      </c>
      <c r="M165" s="57">
        <f t="shared" si="129"/>
        <v>4627</v>
      </c>
      <c r="N165" s="57">
        <f t="shared" si="129"/>
        <v>4864</v>
      </c>
      <c r="O165" s="57">
        <f t="shared" si="129"/>
        <v>4986</v>
      </c>
      <c r="P165" s="57" t="e">
        <f t="shared" si="129"/>
        <v>#VALUE!</v>
      </c>
      <c r="Q165" s="57" t="e">
        <f t="shared" si="129"/>
        <v>#VALUE!</v>
      </c>
      <c r="R165" s="158"/>
      <c r="S165" s="156">
        <f>W161</f>
        <v>40226</v>
      </c>
      <c r="U165">
        <f>IF(DATE(YEAR(U161)+3,MONTH(U161),DAY(1))&lt;=S165,H198,IF(DATE(YEAR(U161)+2,MONTH(U161),DAY(1))&lt;=S165,H192,IF(DATE(YEAR(U161)+1,MONTH(U161),DAY(1))&lt;=S165,H186,H180)))</f>
        <v>12540</v>
      </c>
      <c r="V165">
        <f>IF(DATE(YEAR(V161)+3,MONTH(V161),DAY(1))&lt;=S165,I198,IF(DATE(YEAR(V161)+2,MONTH(V161),DAY(1))&lt;=S165,I192,IF(DATE(YEAR(V161)+1,MONTH(V161),DAY(1))&lt;=S165,I186,I180)))</f>
        <v>12870</v>
      </c>
      <c r="W165">
        <f>J180</f>
        <v>12870</v>
      </c>
      <c r="AS165" s="127"/>
      <c r="AT165" s="127"/>
      <c r="AU165" s="127"/>
      <c r="AV165" s="127"/>
      <c r="AW165" s="127"/>
      <c r="AX165" s="127"/>
      <c r="AY165" s="127"/>
      <c r="AZ165" s="127"/>
      <c r="BA165" s="127"/>
      <c r="BB165" s="127"/>
      <c r="BC165" s="127"/>
      <c r="BD165" s="127"/>
      <c r="BE165" s="127"/>
      <c r="BF165" s="127"/>
      <c r="BG165" s="127"/>
      <c r="BH165" s="127"/>
      <c r="BI165" s="127"/>
    </row>
    <row r="166" spans="5:61" ht="15" hidden="1">
      <c r="E166" s="260" t="s">
        <v>226</v>
      </c>
      <c r="F166" s="260"/>
      <c r="G166" s="260"/>
      <c r="H166" s="57">
        <f aca="true" t="shared" si="130" ref="H166:Q166">IF(ROUND((H164-H90)*0.1,0)&lt;1000,1000,ROUND((H164-H90)*0.1,0))</f>
        <v>1000</v>
      </c>
      <c r="I166" s="57">
        <f t="shared" si="130"/>
        <v>1000</v>
      </c>
      <c r="J166" s="57">
        <f t="shared" si="130"/>
        <v>1000</v>
      </c>
      <c r="K166" s="57">
        <f t="shared" si="130"/>
        <v>1000</v>
      </c>
      <c r="L166" s="57">
        <f t="shared" si="130"/>
        <v>1000</v>
      </c>
      <c r="M166" s="57">
        <f t="shared" si="130"/>
        <v>1000</v>
      </c>
      <c r="N166" s="57">
        <f t="shared" si="130"/>
        <v>1000</v>
      </c>
      <c r="O166" s="57">
        <f t="shared" si="130"/>
        <v>1000</v>
      </c>
      <c r="P166" s="57" t="e">
        <f t="shared" si="130"/>
        <v>#VALUE!</v>
      </c>
      <c r="Q166" s="57" t="e">
        <f t="shared" si="130"/>
        <v>#VALUE!</v>
      </c>
      <c r="R166" s="94"/>
      <c r="S166" s="156">
        <f>X161</f>
        <v>40575</v>
      </c>
      <c r="U166">
        <f>IF(S166=" "," ",IF(S166&gt;=J38,H232,IF(DATE(YEAR(U161)+3,MONTH(U161),DAY(1))&lt;=S166,H198,IF(DATE(YEAR(U161)+2,MONTH(U161),DAY(1))&lt;=S166,H192,IF(DATE(YEAR(U161)+1,MONTH(U161),DAY(1))&lt;=S166,H186,H180)))))</f>
        <v>12870</v>
      </c>
      <c r="V166">
        <f>IF(S166=" "," ",IF(S166&gt;=J38,I232,IF(DATE(YEAR(V161)+3,MONTH(V161),DAY(1))&lt;=S166,I198,IF(DATE(YEAR(V161)+2,MONTH(V161),DAY(1))&lt;=S166,I192,IF(DATE(YEAR(V161)+1,MONTH(V161),DAY(1))&lt;=S166,I186,I180)))))</f>
        <v>13200</v>
      </c>
      <c r="W166">
        <f>IF(S166=" "," ",IF(S166&gt;=J38,J232,IF(DATE(YEAR(W161)+3,MONTH(W161),DAY(1))&lt;=S166,J198,IF(DATE(YEAR(W161)+2,MONTH(W161),DAY(1))&lt;=S166,J192,IF(DATE(YEAR(W161)+1,MONTH(W161),DAY(1))&lt;=S166,J186,J180)))))</f>
        <v>13200</v>
      </c>
      <c r="X166">
        <f>IF(X161=" "," ",K180)</f>
        <v>13200</v>
      </c>
      <c r="AS166" s="127"/>
      <c r="AT166" s="127"/>
      <c r="AU166" s="127"/>
      <c r="AV166" s="127"/>
      <c r="AW166" s="127"/>
      <c r="AX166" s="127"/>
      <c r="AY166" s="127"/>
      <c r="AZ166" s="127"/>
      <c r="BA166" s="127"/>
      <c r="BB166" s="127"/>
      <c r="BC166" s="127"/>
      <c r="BD166" s="127"/>
      <c r="BE166" s="127"/>
      <c r="BF166" s="127"/>
      <c r="BG166" s="127"/>
      <c r="BH166" s="127"/>
      <c r="BI166" s="127"/>
    </row>
    <row r="167" spans="5:61" ht="15" hidden="1">
      <c r="E167" s="260" t="s">
        <v>227</v>
      </c>
      <c r="F167" s="260"/>
      <c r="G167" s="260"/>
      <c r="H167" s="57">
        <f aca="true" t="shared" si="131" ref="H167:Q167">ROUND(0.005*IF(H163&gt;30,30,H163)*(H164-H90),0)</f>
        <v>103</v>
      </c>
      <c r="I167" s="57">
        <f t="shared" si="131"/>
        <v>106</v>
      </c>
      <c r="J167" s="57">
        <f t="shared" si="131"/>
        <v>141</v>
      </c>
      <c r="K167" s="57">
        <f t="shared" si="131"/>
        <v>145</v>
      </c>
      <c r="L167" s="57">
        <f t="shared" si="131"/>
        <v>181</v>
      </c>
      <c r="M167" s="57">
        <f t="shared" si="131"/>
        <v>181</v>
      </c>
      <c r="N167" s="57">
        <f t="shared" si="131"/>
        <v>190</v>
      </c>
      <c r="O167" s="57">
        <f t="shared" si="131"/>
        <v>195</v>
      </c>
      <c r="P167" s="57" t="e">
        <f t="shared" si="131"/>
        <v>#VALUE!</v>
      </c>
      <c r="Q167" s="57" t="e">
        <f t="shared" si="131"/>
        <v>#VALUE!</v>
      </c>
      <c r="R167" s="158"/>
      <c r="S167" s="156">
        <f>Y161</f>
        <v>40591</v>
      </c>
      <c r="U167">
        <f>IF(S167=" "," ",IF(S167&gt;=J38,H232,IF(DATE(YEAR(U161)+3,MONTH(U161),DAY(1))&lt;=S167,H198,IF(DATE(YEAR(U161)+2,MONTH(U161),DAY(1))&lt;=S167,H192,IF(DATE(YEAR(U161)+1,MONTH(U161),DAY(1))&lt;=S167,H186,H180)))))</f>
        <v>12870</v>
      </c>
      <c r="V167">
        <f>IF(S167=" "," ",IF(S167&gt;=J38,I232,IF(DATE(YEAR(V161)+3,MONTH(V161),DAY(1))&lt;=S167,I198,IF(DATE(YEAR(V161)+2,MONTH(V161),DAY(1))&lt;=S167,I192,IF(DATE(YEAR(V161)+1,MONTH(V161),DAY(1))&lt;=S167,I186,I180)))))</f>
        <v>13200</v>
      </c>
      <c r="W167">
        <f>IF(S167=" "," ",IF(S167&gt;=J38,J232,IF(DATE(YEAR(W161)+3,MONTH(W161),DAY(1))&lt;=S167,J198,IF(DATE(YEAR(W161)+2,MONTH(W161),DAY(1))&lt;=S167,J192,IF(DATE(YEAR(W161)+1,MONTH(W161),DAY(1))&lt;=S167,J186,J180)))))</f>
        <v>13200</v>
      </c>
      <c r="X167">
        <f>IF(S167=" "," ",IF(S167&gt;=J38,K232,IF(DATE(YEAR(X161)+3,MONTH(X161),DAY(1))&lt;=S167,K198,IF(DATE(YEAR(X161)+2,MONTH(X161),DAY(1))&lt;=S167,K192,IF(DATE(YEAR(X161)+1,MONTH(X161),DAY(1))&lt;=S167,K186,K180)))))</f>
        <v>13200</v>
      </c>
      <c r="Y167">
        <f>IF(Y161=" "," ",L180)</f>
        <v>13200</v>
      </c>
      <c r="AS167" s="127"/>
      <c r="AT167" s="127"/>
      <c r="AU167" s="127"/>
      <c r="AV167" s="127"/>
      <c r="AW167" s="127"/>
      <c r="AX167" s="127"/>
      <c r="AY167" s="127"/>
      <c r="AZ167" s="127"/>
      <c r="BA167" s="127"/>
      <c r="BB167" s="127"/>
      <c r="BC167" s="127"/>
      <c r="BD167" s="127"/>
      <c r="BE167" s="127"/>
      <c r="BF167" s="127"/>
      <c r="BG167" s="127"/>
      <c r="BH167" s="127"/>
      <c r="BI167" s="127"/>
    </row>
    <row r="168" spans="5:61" ht="15" hidden="1">
      <c r="E168" s="327" t="s">
        <v>36</v>
      </c>
      <c r="F168" s="327"/>
      <c r="G168" s="327"/>
      <c r="H168" s="118">
        <f>SUM(H164:H167)</f>
        <v>12370</v>
      </c>
      <c r="I168" s="118">
        <f aca="true" t="shared" si="132" ref="I168:Q168">SUM(I164:I167)</f>
        <v>12668</v>
      </c>
      <c r="J168" s="118">
        <f t="shared" si="132"/>
        <v>12703</v>
      </c>
      <c r="K168" s="118">
        <f t="shared" si="132"/>
        <v>13002</v>
      </c>
      <c r="L168" s="118">
        <f t="shared" si="132"/>
        <v>13038</v>
      </c>
      <c r="M168" s="118">
        <f t="shared" si="132"/>
        <v>13038</v>
      </c>
      <c r="N168" s="118">
        <f t="shared" si="132"/>
        <v>13654</v>
      </c>
      <c r="O168" s="118">
        <f t="shared" si="132"/>
        <v>13971</v>
      </c>
      <c r="P168" s="118" t="e">
        <f t="shared" si="132"/>
        <v>#VALUE!</v>
      </c>
      <c r="Q168" s="118" t="e">
        <f t="shared" si="132"/>
        <v>#VALUE!</v>
      </c>
      <c r="R168" s="161"/>
      <c r="S168" s="156">
        <f>Z161</f>
        <v>40781</v>
      </c>
      <c r="U168">
        <f>IF(S168=" "," ",IF(S168&gt;=J38,H232,IF(DATE(YEAR(U161)+3,MONTH(U161),DAY(1))&lt;=S168,H198,IF(DATE(YEAR(U161)+2,MONTH(U161),DAY(1))&lt;=S168,H192,IF(DATE(YEAR(U161)+1,MONTH(U161),DAY(1))&lt;=S168,H186,H180)))))</f>
        <v>13920</v>
      </c>
      <c r="V168">
        <f>IF(S168=" "," ",IF(S168&gt;=J38,I232,IF(DATE(YEAR(V161)+3,MONTH(V161),DAY(1))&lt;=S168,I198,IF(DATE(YEAR(V161)+2,MONTH(V161),DAY(1))&lt;=S168,I192,IF(DATE(YEAR(V161)+1,MONTH(V161),DAY(1))&lt;=S168,I186,I180)))))</f>
        <v>13920</v>
      </c>
      <c r="W168">
        <f>IF(S168=" "," ",IF(S168&gt;=J38,J232,IF(DATE(YEAR(W161)+3,MONTH(W161),DAY(1))&lt;=S168,J198,IF(DATE(YEAR(W161)+2,MONTH(W161),DAY(1))&lt;=S168,J192,IF(DATE(YEAR(W161)+1,MONTH(W161),DAY(1))&lt;=S168,J186,J180)))))</f>
        <v>13920</v>
      </c>
      <c r="X168">
        <f>IF(S168=" "," ",IF(S168&gt;=J38,K232,IF(DATE(YEAR(X161)+3,MONTH(X161),DAY(1))&lt;=S168,K198,IF(DATE(YEAR(X161)+2,MONTH(X161),DAY(1))&lt;=S168,K192,IF(DATE(YEAR(X161)+1,MONTH(X161),DAY(1))&lt;=S168,K186,K180)))))</f>
        <v>13920</v>
      </c>
      <c r="Y168">
        <f>IF(S168=" "," ",IF(Y161=" "," ",IF(S168&gt;=J38,L232,IF(DATE(YEAR(Y161)+3,MONTH(Y161),DAY(1))&lt;=S168,L198,IF(DATE(YEAR(Y161)+2,MONTH(Y161),DAY(1))&lt;=S168,L192,IF(DATE(YEAR(Y161)+1,MONTH(Y161),DAY(1))&lt;=S168,L186,L180))))))</f>
        <v>13920</v>
      </c>
      <c r="Z168">
        <f>IF(Z161=" "," ",M180)</f>
        <v>13200</v>
      </c>
      <c r="AS168" s="127"/>
      <c r="AT168" s="127"/>
      <c r="AU168" s="127"/>
      <c r="AV168" s="127"/>
      <c r="AW168" s="127"/>
      <c r="AX168" s="127"/>
      <c r="AY168" s="127"/>
      <c r="AZ168" s="127"/>
      <c r="BA168" s="127"/>
      <c r="BB168" s="127"/>
      <c r="BC168" s="127"/>
      <c r="BD168" s="127"/>
      <c r="BE168" s="127"/>
      <c r="BF168" s="127"/>
      <c r="BG168" s="127"/>
      <c r="BH168" s="127"/>
      <c r="BI168" s="127"/>
    </row>
    <row r="169" spans="5:61" ht="15" hidden="1">
      <c r="E169" s="265" t="s">
        <v>228</v>
      </c>
      <c r="F169" s="265"/>
      <c r="G169" s="265"/>
      <c r="H169" s="119">
        <f>IF(H162="Lower Post",VALUE(RIGHT(RIGHT(M7,8),LEN(RIGHT(M7,8))-FIND("-",RIGHT(M7,8),1))),VALUE(RIGHT(RIGHT(M9,8),LEN(RIGHT(M9,8))-FIND("-",RIGHT(M9,8),1))))</f>
        <v>26870</v>
      </c>
      <c r="I169" s="119">
        <f>IF(I162="Lower Post",VALUE(RIGHT(RIGHT(M7,8),LEN(RIGHT(M7,8))-FIND("-",RIGHT(M7,8),1))),VALUE(RIGHT(RIGHT(M9,8),LEN(RIGHT(M9,8))-FIND("-",RIGHT(M9,8),1))))</f>
        <v>26870</v>
      </c>
      <c r="J169" s="119">
        <f>IF(J162="Lower Post",VALUE(RIGHT(RIGHT(M7,8),LEN(RIGHT(M7,8))-FIND("-",RIGHT(M7,8),1))),VALUE(RIGHT(RIGHT(M9,8),LEN(RIGHT(M9,8))-FIND("-",RIGHT(M9,8),1))))</f>
        <v>26870</v>
      </c>
      <c r="K169" s="119">
        <f>IF(K162="Lower Post",VALUE(RIGHT(RIGHT(M7,8),LEN(RIGHT(M7,8))-FIND("-",RIGHT(M7,8),1))),VALUE(RIGHT(RIGHT(M9,8),LEN(RIGHT(M9,8))-FIND("-",RIGHT(M9,8),1))))</f>
        <v>26870</v>
      </c>
      <c r="L169" s="119">
        <f>IF(L162="Lower Post",VALUE(RIGHT(RIGHT(M7,8),LEN(RIGHT(M7,8))-FIND("-",RIGHT(M7,8),1))),VALUE(RIGHT(RIGHT(M9,8),LEN(RIGHT(M9,8))-FIND("-",RIGHT(M9,8),1))))</f>
        <v>26870</v>
      </c>
      <c r="M169" s="119">
        <f>IF(M162="Lower Post",VALUE(RIGHT(RIGHT(M7,8),LEN(RIGHT(M7,8))-FIND("-",RIGHT(M7,8),1))),VALUE(RIGHT(RIGHT(M9,8),LEN(RIGHT(M9,8))-FIND("-",RIGHT(M9,8),1))))</f>
        <v>26870</v>
      </c>
      <c r="N169" s="119">
        <f>IF(N162="Lower Post",VALUE(RIGHT(RIGHT(M7,8),LEN(RIGHT(M7,8))-FIND("-",RIGHT(M7,8),1))),VALUE(RIGHT(RIGHT(M9,8),LEN(RIGHT(M9,8))-FIND("-",RIGHT(M9,8),1))))</f>
        <v>29670</v>
      </c>
      <c r="O169" s="119">
        <f>IF(O162="Lower Post",VALUE(RIGHT(RIGHT(M7,8),LEN(RIGHT(M7,8))-FIND("-",RIGHT(M7,8),1))),VALUE(RIGHT(RIGHT(M9,8),LEN(RIGHT(M9,8))-FIND("-",RIGHT(M9,8),1))))</f>
        <v>29670</v>
      </c>
      <c r="P169" s="119">
        <f>IF(P162="Lower Post",VALUE(RIGHT(RIGHT(M7,8),LEN(RIGHT(M7,8))-FIND("-",RIGHT(M7,8),1))),VALUE(RIGHT(RIGHT(M9,8),LEN(RIGHT(M9,8))-FIND("-",RIGHT(M9,8),1))))</f>
        <v>29670</v>
      </c>
      <c r="Q169" s="119">
        <f>IF(Q162="Lower Post",VALUE(RIGHT(RIGHT(M7,8),LEN(RIGHT(M7,8))-FIND("-",RIGHT(M7,8),1))),VALUE(RIGHT(RIGHT(M9,8),LEN(RIGHT(M9,8))-FIND("-",RIGHT(M9,8),1))))</f>
        <v>29670</v>
      </c>
      <c r="R169" s="158"/>
      <c r="S169" s="156">
        <f>AA161</f>
        <v>40781</v>
      </c>
      <c r="U169">
        <f>IF(S169=" "," ",IF(S169&gt;=J38,H232,IF(DATE(YEAR(U161)+3,MONTH(U161),DAY(1))&lt;=S169,H198,IF(DATE(YEAR(U161)+2,MONTH(U161),DAY(1))&lt;=S169,H192,IF(DATE(YEAR(U161)+1,MONTH(U161),DAY(1))&lt;=S169,H186,H180)))))</f>
        <v>13920</v>
      </c>
      <c r="V169">
        <f>IF(S169=" "," ",IF(S169&gt;=J38,I232,IF(DATE(YEAR(V161)+3,MONTH(V161),DAY(1))&lt;=S169,I198,IF(DATE(YEAR(V161)+2,MONTH(V161),DAY(1))&lt;=S169,I192,IF(DATE(YEAR(V161)+1,MONTH(V161),DAY(1))&lt;=S169,I186,I180)))))</f>
        <v>13920</v>
      </c>
      <c r="W169">
        <f>IF(S169=" "," ",IF(S169&gt;=J38,J232,IF(DATE(YEAR(W161)+3,MONTH(W161),DAY(1))&lt;=S169,J198,IF(DATE(YEAR(W161)+2,MONTH(W161),DAY(1))&lt;=S169,J192,IF(DATE(YEAR(W161)+1,MONTH(W161),DAY(1))&lt;=S169,J186,J180)))))</f>
        <v>13920</v>
      </c>
      <c r="X169">
        <f>IF(S169=" "," ",IF(S169&gt;=J38,K232,IF(DATE(YEAR(X161)+3,MONTH(X161),DAY(1))&lt;=S169,K198,IF(DATE(YEAR(X161)+2,MONTH(X161),DAY(1))&lt;=S169,K192,IF(DATE(YEAR(X161)+1,MONTH(X161),DAY(1))&lt;=S169,K186,K180)))))</f>
        <v>13920</v>
      </c>
      <c r="Y169">
        <f>IF(S169=" "," ",IF(Y161=" "," ",IF(S169&gt;=J38,L232,IF(DATE(YEAR(Y161)+3,MONTH(Y161),DAY(1))&lt;=S169,L198,IF(DATE(YEAR(Y161)+2,MONTH(Y161),DAY(1))&lt;=S169,L192,IF(DATE(YEAR(Y161)+1,MONTH(Y161),DAY(1))&lt;=S169,L186,L180))))))</f>
        <v>13920</v>
      </c>
      <c r="Z169">
        <f>IF(S169=" "," ",IF(Z161=" "," ",IF(S169&gt;=J38,M232,IF(DATE(YEAR(Z161)+3,MONTH(Z161),DAY(1))&lt;=S169,M198,IF(DATE(YEAR(Z161)+2,MONTH(Z161),DAY(1))&lt;=S169,M192,IF(DATE(YEAR(Z161)+1,MONTH(Z161),DAY(1))&lt;=S169,M186,M180))))))</f>
        <v>13920</v>
      </c>
      <c r="AA169">
        <f>IF(AA161=" "," ",N180)</f>
        <v>13920</v>
      </c>
      <c r="AS169" s="127"/>
      <c r="AT169" s="127"/>
      <c r="AU169" s="127"/>
      <c r="AV169" s="127"/>
      <c r="AW169" s="127"/>
      <c r="AX169" s="127"/>
      <c r="AY169" s="127"/>
      <c r="AZ169" s="127"/>
      <c r="BA169" s="127"/>
      <c r="BB169" s="127"/>
      <c r="BC169" s="127"/>
      <c r="BD169" s="127"/>
      <c r="BE169" s="127"/>
      <c r="BF169" s="127"/>
      <c r="BG169" s="127"/>
      <c r="BH169" s="127"/>
      <c r="BI169" s="127"/>
    </row>
    <row r="170" spans="5:61" ht="15" hidden="1">
      <c r="E170" s="260" t="s">
        <v>229</v>
      </c>
      <c r="F170" s="260"/>
      <c r="G170" s="260"/>
      <c r="H170" s="57">
        <f>IF(H162="Lower Post",VALUE(LEFT(M7,FIND(" ",M7,1)-1)),VALUE(LEFT(M9,FIND(" ",M9,1)-1)))</f>
        <v>10470</v>
      </c>
      <c r="I170" s="57">
        <f>IF(I162="Lower Post",VALUE(LEFT(M7,FIND(" ",M7,1)-1)),VALUE(LEFT(M9,FIND(" ",M9,1)-1)))</f>
        <v>10470</v>
      </c>
      <c r="J170" s="57">
        <f>IF(J162="Lower Post",VALUE(LEFT(M7,FIND(" ",M7,1)-1)),VALUE(LEFT(M9,FIND(" ",M9,1)-1)))</f>
        <v>10470</v>
      </c>
      <c r="K170" s="57">
        <f>IF(K162="Lower Post",VALUE(LEFT(M7,FIND(" ",M7,1)-1)),VALUE(LEFT(M9,FIND(" ",M9,1)-1)))</f>
        <v>10470</v>
      </c>
      <c r="L170" s="57">
        <f>IF(L162="Lower Post",VALUE(LEFT(M7,FIND(" ",M7,1)-1)),VALUE(LEFT(M9,FIND(" ",M9,1)-1)))</f>
        <v>10470</v>
      </c>
      <c r="M170" s="57">
        <f>IF(M162="Lower Post",VALUE(LEFT(M7,FIND(" ",M7,1)-1)),VALUE(LEFT(M9,FIND(" ",M9,1)-1)))</f>
        <v>10470</v>
      </c>
      <c r="N170" s="57">
        <f>IF(N162="Lower Post",VALUE(LEFT(M7,FIND(" ",M7,1)-1)),VALUE(LEFT(M9,FIND(" ",M9,1)-1)))</f>
        <v>13560</v>
      </c>
      <c r="O170" s="57">
        <f>IF(O162="Lower Post",VALUE(LEFT(M7,FIND(" ",M7,1)-1)),VALUE(LEFT(M9,FIND(" ",M9,1)-1)))</f>
        <v>13560</v>
      </c>
      <c r="P170" s="57">
        <f>IF(P162="Lower Post",VALUE(LEFT(M7,FIND(" ",M7,1)-1)),VALUE(LEFT(M9,FIND(" ",M9,1)-1)))</f>
        <v>13560</v>
      </c>
      <c r="Q170" s="57">
        <f>IF(Q162="Lower Post",VALUE(LEFT(M7,FIND(" ",M7,1)-1)),VALUE(LEFT(M9,FIND(" ",M9,1)-1)))</f>
        <v>13560</v>
      </c>
      <c r="R170" s="158"/>
      <c r="S170" s="156">
        <f>AB161</f>
        <v>40940</v>
      </c>
      <c r="U170">
        <f>IF(S170=" "," ",IF(S170&gt;=J38,H232,IF(DATE(YEAR(U161)+3,MONTH(U161),DAY(1))&lt;=S170,H198,IF(DATE(YEAR(U161)+2,MONTH(U161),DAY(1))&lt;=S170,H192,IF(DATE(YEAR(U161)+1,MONTH(U161),DAY(1))&lt;=S170,H186,H180)))))</f>
        <v>13920</v>
      </c>
      <c r="V170">
        <f>IF(S170=" "," ",IF(S170&gt;=J38,I232,IF(DATE(YEAR(V161)+3,MONTH(V161),DAY(1))&lt;=S170,I198,IF(DATE(YEAR(V161)+2,MONTH(V161),DAY(1))&lt;=S170,I192,IF(DATE(YEAR(V161)+1,MONTH(V161),DAY(1))&lt;=S170,I186,I180)))))</f>
        <v>13920</v>
      </c>
      <c r="W170">
        <f>IF(S170=" "," ",IF(S170&gt;=J38,J232,IF(DATE(YEAR(W161)+3,MONTH(W161),DAY(1))&lt;=S170,J198,IF(DATE(YEAR(W161)+2,MONTH(W161),DAY(1))&lt;=S170,J192,IF(DATE(YEAR(W161)+1,MONTH(W161),DAY(1))&lt;=S170,J186,J180)))))</f>
        <v>13920</v>
      </c>
      <c r="X170">
        <f>IF(S170=" "," ",IF(S170&gt;=J38,K226,IF(DATE(YEAR(X161)+3,MONTH(X161),DAY(1))&lt;=S170,K198,IF(DATE(YEAR(X161)+2,MONTH(X161),DAY(1))&lt;=S170,K192,IF(DATE(YEAR(X161)+1,MONTH(X161),DAY(1))&lt;=S170,K186,K180)))))</f>
        <v>13920</v>
      </c>
      <c r="Y170">
        <f>IF(S170=" "," ",IF(S170&gt;=J38,L226,IF(Y161=" "," ",IF(DATE(YEAR(Y161)+3,MONTH(Y161),DAY(1))&lt;=S170,L198,IF(DATE(YEAR(Y161)+2,MONTH(Y161),DAY(1))&lt;=S170,L192,IF(DATE(YEAR(Y161)+1,MONTH(Y161),DAY(1))&lt;=S170,L186,L180))))))</f>
        <v>13920</v>
      </c>
      <c r="Z170">
        <f>IF(S170=" "," ",IF(S170&gt;=J38,M226,IF(Z161=" "," ",IF(DATE(YEAR(Z161)+3,MONTH(Z161),DAY(1))&lt;=S170,M198,IF(DATE(YEAR(Z161)+2,MONTH(Z161),DAY(1))&lt;=S170,M192,IF(DATE(YEAR(Z161)+1,MONTH(Z161),DAY(1))&lt;=S170,M186,M180))))))</f>
        <v>13920</v>
      </c>
      <c r="AA170">
        <f>IF(S170=" "," ",IF(S170&gt;=J38,N232,IF(AA161=" "," ",IF(DATE(YEAR(AA161)+3,MONTH(AA161),DAY(1))&lt;=S170,N198,IF(DATE(YEAR(AA161)+2,MONTH(AA161),DAY(1))&lt;=S170,N192,IF(DATE(YEAR(AA161)+1,MONTH(AA161),DAY(1))&lt;=S170,N186,N180))))))</f>
        <v>13920</v>
      </c>
      <c r="AB170">
        <f>IF(AB161=" "," ",O180)</f>
        <v>14280</v>
      </c>
      <c r="AS170" s="127"/>
      <c r="AT170" s="127"/>
      <c r="AU170" s="127"/>
      <c r="AV170" s="127"/>
      <c r="AW170" s="127"/>
      <c r="AX170" s="127"/>
      <c r="AY170" s="127"/>
      <c r="AZ170" s="127"/>
      <c r="BA170" s="127"/>
      <c r="BB170" s="127"/>
      <c r="BC170" s="127"/>
      <c r="BD170" s="127"/>
      <c r="BE170" s="127"/>
      <c r="BF170" s="127"/>
      <c r="BG170" s="127"/>
      <c r="BH170" s="127"/>
      <c r="BI170" s="127"/>
    </row>
    <row r="171" spans="8:61" ht="15" hidden="1">
      <c r="H171" s="57" t="str">
        <f>IF(H168&gt;=59250,59250,IF(H168&gt;=54050,54050,IF(H168&gt;=49250,49250,IF(H168&gt;=43750,43750,IF(H168&gt;=39750,39750,IF(H168&gt;=36110,36110,IF(H168&gt;=32750,32750,"X")))))))</f>
        <v>X</v>
      </c>
      <c r="I171" s="57" t="str">
        <f aca="true" t="shared" si="133" ref="I171:Q171">IF(I168&gt;=59250,59250,IF(I168&gt;=54050,54050,IF(I168&gt;=49250,49250,IF(I168&gt;=43750,43750,IF(I168&gt;=39750,39750,IF(I168&gt;=36110,36110,IF(I168&gt;=32750,32750,"X")))))))</f>
        <v>X</v>
      </c>
      <c r="J171" s="57" t="str">
        <f t="shared" si="133"/>
        <v>X</v>
      </c>
      <c r="K171" s="57" t="str">
        <f t="shared" si="133"/>
        <v>X</v>
      </c>
      <c r="L171" s="57" t="str">
        <f t="shared" si="133"/>
        <v>X</v>
      </c>
      <c r="M171" s="57" t="str">
        <f t="shared" si="133"/>
        <v>X</v>
      </c>
      <c r="N171" s="57" t="str">
        <f t="shared" si="133"/>
        <v>X</v>
      </c>
      <c r="O171" s="57" t="str">
        <f t="shared" si="133"/>
        <v>X</v>
      </c>
      <c r="P171" s="57" t="e">
        <f t="shared" si="133"/>
        <v>#VALUE!</v>
      </c>
      <c r="Q171" s="57" t="e">
        <f t="shared" si="133"/>
        <v>#VALUE!</v>
      </c>
      <c r="R171" s="158"/>
      <c r="S171" s="156" t="str">
        <f>AC161</f>
        <v> </v>
      </c>
      <c r="U171" t="str">
        <f>IF(S171=" "," ",IF(S171&gt;=J38,H232,IF(DATE(YEAR(U161)+3,MONTH(U161),DAY(1))&lt;=S171,H198,IF(DATE(YEAR(U161)+2,MONTH(U161),DAY(1))&lt;=S171,H192,IF(DATE(YEAR(U161)+1,MONTH(U161),DAY(1))&lt;=S171,H186,H180)))))</f>
        <v> </v>
      </c>
      <c r="V171" t="str">
        <f>IF(S171=" "," ",IF(S171&gt;=J38,I232,IF(DATE(YEAR(V161)+3,MONTH(V161),DAY(1))&lt;=S171,I198,IF(DATE(YEAR(V161)+2,MONTH(V161),DAY(1))&lt;=S171,I192,IF(DATE(YEAR(V161)+1,MONTH(V161),DAY(1))&lt;=S171,I186,I180)))))</f>
        <v> </v>
      </c>
      <c r="W171" t="str">
        <f>IF(S171=" "," ",IF(S171&gt;=J38,J232,IF(DATE(YEAR(W161)+3,MONTH(W161),DAY(1))&lt;=S171,J198,IF(DATE(YEAR(W161)+2,MONTH(W161),DAY(1))&lt;=S171,J192,IF(DATE(YEAR(W161)+1,MONTH(W161),DAY(1))&lt;=S171,J186,J180)))))</f>
        <v> </v>
      </c>
      <c r="X171" t="str">
        <f>IF(S171=" "," ",IF(S171&gt;=J38,K232,IF(DATE(YEAR(X161)+3,MONTH(X161),DAY(1))&lt;=S171,K198,IF(DATE(YEAR(X161)+2,MONTH(X161),DAY(1))&lt;=S171,K192,IF(DATE(YEAR(X161)+1,MONTH(X161),DAY(1))&lt;=S171,K186,K180)))))</f>
        <v> </v>
      </c>
      <c r="Y171" t="str">
        <f>IF(S171=" "," ",IF(Y161=" "," ",IF(S171&gt;=J38,L232,IF(DATE(YEAR(Y161)+3,MONTH(Y161),DAY(1))&lt;=S171,L198,IF(DATE(YEAR(Y161)+2,MONTH(Y161),DAY(1))&lt;=S171,L192,IF(DATE(YEAR(Y161)+1,MONTH(Y161),DAY(1))&lt;=S171,L186,L180))))))</f>
        <v> </v>
      </c>
      <c r="Z171" t="str">
        <f>IF(S171=" "," ",IF(Z161=" "," ",IF(S171&gt;=J38,M232,IF(DATE(YEAR(Z161)+3,MONTH(Z161),DAY(1))&lt;=S171,M198,IF(DATE(YEAR(Z161)+2,MONTH(Z161),DAY(1))&lt;=S171,M192,IF(DATE(YEAR(Z161)+1,MONTH(Z161),DAY(1))&lt;=S171,M186,M180))))))</f>
        <v> </v>
      </c>
      <c r="AA171" t="str">
        <f>IF(S171=" "," ",IF(AA161=" "," ",IF(S171&gt;=J38,N232,IF(DATE(YEAR(AA161)+3,MONTH(AA161),DAY(1))&lt;=S171,N198,IF(DATE(YEAR(AA161)+2,MONTH(AA161),DAY(1))&lt;=S171,N192,IF(DATE(YEAR(AA161)+1,MONTH(AA161),DAY(1))&lt;=S171,N186,N180))))))</f>
        <v> </v>
      </c>
      <c r="AB171" t="str">
        <f>IF(AB161=" "," ",IF(S171=" "," ",IF(S171&gt;=J38,O232,IF(DATE(YEAR(AB161)+3,MONTH(AB161),DAY(1))&lt;=S171,O198,IF(DATE(YEAR(AB161)+2,MONTH(AB161),DAY(1))&lt;=S171,O192,IF(DATE(YEAR(AB161)+1,MONTH(AB161),DAY(1))&lt;=S171,O186,O180))))))</f>
        <v> </v>
      </c>
      <c r="AC171" t="str">
        <f>IF(AC161=" "," ",P180)</f>
        <v> </v>
      </c>
      <c r="AS171" s="127"/>
      <c r="AT171" s="127"/>
      <c r="AU171" s="127"/>
      <c r="AV171" s="127"/>
      <c r="AW171" s="127"/>
      <c r="AX171" s="127"/>
      <c r="AY171" s="127"/>
      <c r="AZ171" s="127"/>
      <c r="BA171" s="127"/>
      <c r="BB171" s="127"/>
      <c r="BC171" s="127"/>
      <c r="BD171" s="127"/>
      <c r="BE171" s="127"/>
      <c r="BF171" s="127"/>
      <c r="BG171" s="127"/>
      <c r="BH171" s="127"/>
      <c r="BI171" s="127"/>
    </row>
    <row r="172" spans="8:61" ht="15" hidden="1">
      <c r="H172" s="57" t="str">
        <f>IF(H171="x",IF(H168&gt;=29670,29670,IF(H168&gt;=26870,26870,IF(H168&gt;=23720,23720,IF(H168&gt;=21440,21440,IF(H168&gt;=18440,18440,IF(H168&gt;=16640,16640,IF(H168&gt;=14640,14640,"x"))))))),H171)</f>
        <v>x</v>
      </c>
      <c r="I172" s="57" t="str">
        <f aca="true" t="shared" si="134" ref="I172:Q172">IF(I171="x",IF(I168&gt;=29670,29670,IF(I168&gt;=26870,26870,IF(I168&gt;=23720,23720,IF(I168&gt;=21440,21440,IF(I168&gt;=18440,18440,IF(I168&gt;=16640,16640,IF(I168&gt;=14640,14640,"x"))))))),I171)</f>
        <v>x</v>
      </c>
      <c r="J172" s="57" t="str">
        <f t="shared" si="134"/>
        <v>x</v>
      </c>
      <c r="K172" s="57" t="str">
        <f t="shared" si="134"/>
        <v>x</v>
      </c>
      <c r="L172" s="57" t="str">
        <f t="shared" si="134"/>
        <v>x</v>
      </c>
      <c r="M172" s="57" t="str">
        <f t="shared" si="134"/>
        <v>x</v>
      </c>
      <c r="N172" s="57" t="str">
        <f t="shared" si="134"/>
        <v>x</v>
      </c>
      <c r="O172" s="57" t="str">
        <f t="shared" si="134"/>
        <v>x</v>
      </c>
      <c r="P172" s="57" t="e">
        <f t="shared" si="134"/>
        <v>#VALUE!</v>
      </c>
      <c r="Q172" s="57" t="e">
        <f t="shared" si="134"/>
        <v>#VALUE!</v>
      </c>
      <c r="R172" s="158"/>
      <c r="S172" s="156">
        <f>IF(H39=" ",DATE(YEAR(AF161)+1,MONTH(H38),DAY(1)),IF(D225="Rule 30",H39,DATE(YEAR(AF161)+1,MONTH(H38),DAY(1))))</f>
        <v>41306</v>
      </c>
      <c r="U172">
        <f>IF(S173&gt;=J38,H237,IF(DATE(YEAR(U161)+4,MONTH(U161),DAY(1))&lt;=S172,H204,IF(S173&gt;=J38,H237,IF(DATE(YEAR(U161)+3,MONTH(U161),DAY(1))&lt;=S172,H198,IF(DATE(YEAR(U161)+2,MONTH(U161),DAY(1))&lt;=S172,H192,IF(DATE(YEAR(U161)+1,MONTH(U161),DAY(1))&lt;=S172,H186,H180))))))</f>
        <v>14280</v>
      </c>
      <c r="V172">
        <f>IF(S173&gt;=J38,I237,IF(DATE(YEAR(V161)+4,MONTH(V161),DAY(1))&lt;=S172,I204,IF(S173&gt;=J38,I237,IF(DATE(YEAR(V161)+3,MONTH(V161),DAY(1))&lt;=S172,I198,IF(DATE(YEAR(V161)+2,MONTH(V161),DAY(1))&lt;=S172,I192,IF(DATE(YEAR(V161)+1,MONTH(V161),DAY(1))&lt;=S172,I186,I180))))))</f>
        <v>14280</v>
      </c>
      <c r="W172">
        <f>IF(S173&gt;=J38,J237,IF(DATE(YEAR(W161)+4,MONTH(W161),DAY(1))&lt;=S172,J204,IF(S173&gt;=J38,J237,IF(DATE(YEAR(W161)+3,MONTH(W161),DAY(1))&lt;=S172,J198,IF(DATE(YEAR(W161)+2,MONTH(W161),DAY(1))&lt;=S172,J192,IF(DATE(YEAR(W161)+1,MONTH(W161),DAY(1))&lt;=S172,J186,J180))))))</f>
        <v>14280</v>
      </c>
      <c r="X172">
        <f>IF(S173&gt;=J38,K237,IF(DATE(YEAR(X161)+4,MONTH(X161),DAY(1))&lt;=S172,K204,IF(DATE(YEAR(X161)+3,MONTH(X161),DAY(1))&lt;=S172,K198,IF(DATE(YEAR(X161)+2,MONTH(X161),DAY(1))&lt;=S172,K192,IF(DATE(YEAR(X161)+1,MONTH(X161),DAY(1))&lt;=S172,K186,K180)))))</f>
        <v>14280</v>
      </c>
      <c r="Y172">
        <f>IF(Y161=" "," ",IF(DATE(YEAR(Y161)+4,MONTH(Y161),DAY(1))&lt;=S172,L204,IF(S173&gt;=J38,L237,IF(DATE(YEAR(Y161)+3,MONTH(Y161),DAY(1))&lt;=S172,L198,IF(DATE(YEAR(Y161)+2,MONTH(Y161),DAY(1))&lt;=S172,L192,IF(DATE(YEAR(Y161)+1,MONTH(Y161),DAY(1))&lt;=S172,L186,L180))))))</f>
        <v>14280</v>
      </c>
      <c r="Z172">
        <f>IF(Z161=" "," ",IF(DATE(YEAR(Z161)+4,MONTH(Z161),DAY(1))&lt;=S172,M204,IF(S173&gt;=J38,M237,IF(DATE(YEAR(Z161)+3,MONTH(Z161),DAY(1))&lt;=S172,M198,IF(DATE(YEAR(Z161)+2,MONTH(Z161),DAY(1))&lt;=S172,M192,IF(DATE(YEAR(Z161)+1,MONTH(Z161),DAY(1))&lt;=S172,M186,M180))))))</f>
        <v>14280</v>
      </c>
      <c r="AA172">
        <f>IF(AA161=" "," ",IF(DATE(YEAR(AA161)+4,MONTH(AA161),DAY(1))&lt;=S172,N204,IF(S173&gt;=J38,N237,IF(DATE(YEAR(AA161)+3,MONTH(AA161),DAY(1))&lt;=S172,N198,IF(DATE(YEAR(AA161)+2,MONTH(AA161),DAY(1))&lt;=S172,N192,IF(DATE(YEAR(AA161)+1,MONTH(AA161),DAY(1))&lt;=S172,N186,N180))))))</f>
        <v>14280</v>
      </c>
      <c r="AB172">
        <f>IF(AB161=" "," ",IF(S173&gt;=J38,O237,IF(DATE(YEAR(AB161)+4,MONTH(AB161),DAY(1))&lt;=S172,O204,IF(DATE(YEAR(AB161)+3,MONTH(AB161),DAY(1))&lt;=S172,O198,IF(DATE(YEAR(AB161)+2,MONTH(AB161),DAY(1))&lt;=S172,O192,IF(DATE(YEAR(AB161)+1,MONTH(AB161),DAY(1))&lt;=S172,O186,O180))))))</f>
        <v>14640</v>
      </c>
      <c r="AC172" t="str">
        <f>IF(AC161=" "," ",IF(S173&gt;=J38,P237,IF(DATE(YEAR(AC161)+3,MONTH(AC161),DAY(1))&lt;=S172,P198,IF(DATE(YEAR(AC161)+3,MONTH(AC161),DAY(1))&lt;=S172,P198,IF(DATE(YEAR(AC161)+2,MONTH(AC161),DAY(1))&lt;=S172,P192,IF(DATE(YEAR(AC161)+1,MONTH(AC161),DAY(1))&lt;=S172,P186,P180))))))</f>
        <v> </v>
      </c>
      <c r="AD172" t="str">
        <f>IF(AD161=" "," ",Q180)</f>
        <v> </v>
      </c>
      <c r="AS172" s="127"/>
      <c r="AT172" s="127"/>
      <c r="AU172" s="127"/>
      <c r="AV172" s="127"/>
      <c r="AW172" s="127"/>
      <c r="AX172" s="127"/>
      <c r="AY172" s="127"/>
      <c r="AZ172" s="127"/>
      <c r="BA172" s="127"/>
      <c r="BB172" s="127"/>
      <c r="BC172" s="127"/>
      <c r="BD172" s="127"/>
      <c r="BE172" s="127"/>
      <c r="BF172" s="127"/>
      <c r="BG172" s="127"/>
      <c r="BH172" s="127"/>
      <c r="BI172" s="127"/>
    </row>
    <row r="173" spans="8:61" ht="15" hidden="1">
      <c r="H173" s="121">
        <f>IF(H172="x",IF(H168&gt;=13200,13200,IF(H168&gt;=12210,12210,IF(H168&gt;=11010,11010,IF(H168&gt;=9930,9930,IF(H168&gt;=9430,9430,8950))))),H172)</f>
        <v>12210</v>
      </c>
      <c r="I173" s="121">
        <f aca="true" t="shared" si="135" ref="I173:Q173">IF(I172="x",IF(I168&gt;=13200,13200,IF(I168&gt;=12210,12210,IF(I168&gt;=11010,11010,IF(I168&gt;=9930,9930,IF(I168&gt;=9430,9430,8950))))),I172)</f>
        <v>12210</v>
      </c>
      <c r="J173" s="121">
        <f t="shared" si="135"/>
        <v>12210</v>
      </c>
      <c r="K173" s="121">
        <f t="shared" si="135"/>
        <v>12210</v>
      </c>
      <c r="L173" s="121">
        <f t="shared" si="135"/>
        <v>12210</v>
      </c>
      <c r="M173" s="121">
        <f t="shared" si="135"/>
        <v>12210</v>
      </c>
      <c r="N173" s="121">
        <f t="shared" si="135"/>
        <v>13200</v>
      </c>
      <c r="O173" s="121">
        <f t="shared" si="135"/>
        <v>13200</v>
      </c>
      <c r="P173" s="121" t="e">
        <f t="shared" si="135"/>
        <v>#VALUE!</v>
      </c>
      <c r="Q173" s="121" t="e">
        <f t="shared" si="135"/>
        <v>#VALUE!</v>
      </c>
      <c r="R173" s="165"/>
      <c r="S173" s="166">
        <f>MAX(S163:S172)</f>
        <v>41306</v>
      </c>
      <c r="U173" s="167">
        <f>MAX(U163:U172)</f>
        <v>14280</v>
      </c>
      <c r="V173" s="167">
        <f aca="true" t="shared" si="136" ref="V173:AD173">MAX(V163:V172)</f>
        <v>14280</v>
      </c>
      <c r="W173" s="167">
        <f t="shared" si="136"/>
        <v>14280</v>
      </c>
      <c r="X173" s="167">
        <f t="shared" si="136"/>
        <v>14280</v>
      </c>
      <c r="Y173" s="167">
        <f t="shared" si="136"/>
        <v>14280</v>
      </c>
      <c r="Z173" s="167">
        <f t="shared" si="136"/>
        <v>14280</v>
      </c>
      <c r="AA173" s="167">
        <f t="shared" si="136"/>
        <v>14280</v>
      </c>
      <c r="AB173" s="167">
        <f t="shared" si="136"/>
        <v>14640</v>
      </c>
      <c r="AC173" s="167">
        <f t="shared" si="136"/>
        <v>0</v>
      </c>
      <c r="AD173" s="167">
        <f t="shared" si="136"/>
        <v>0</v>
      </c>
      <c r="AE173" s="198">
        <f>MAX(U173:AD173)</f>
        <v>14640</v>
      </c>
      <c r="AS173" s="127"/>
      <c r="AT173" s="127"/>
      <c r="AU173" s="127"/>
      <c r="AV173" s="127"/>
      <c r="AW173" s="127"/>
      <c r="AX173" s="127"/>
      <c r="AY173" s="127"/>
      <c r="AZ173" s="127"/>
      <c r="BA173" s="127"/>
      <c r="BB173" s="127"/>
      <c r="BC173" s="127"/>
      <c r="BD173" s="127"/>
      <c r="BE173" s="127"/>
      <c r="BF173" s="127"/>
      <c r="BG173" s="127"/>
      <c r="BH173" s="127"/>
      <c r="BI173" s="127"/>
    </row>
    <row r="174" spans="8:61" ht="15" hidden="1">
      <c r="H174" s="57" t="str">
        <f>IF(H168&gt;=59250,1400,IF(H168&gt;=54050,1300,IF(H168&gt;=49250,1200,IF(H168&gt;=43750,1100,IF(H168&gt;=39750,1000,IF(H168&gt;=36110,910,IF(H168&gt;=32750,840,"X")))))))</f>
        <v>X</v>
      </c>
      <c r="I174" s="57" t="str">
        <f aca="true" t="shared" si="137" ref="I174:Q174">IF(I168&gt;=59250,1400,IF(I168&gt;=54050,1300,IF(I168&gt;=49250,1200,IF(I168&gt;=43750,1100,IF(I168&gt;=39750,1000,IF(I168&gt;=36110,910,IF(I168&gt;=32750,840,"X")))))))</f>
        <v>X</v>
      </c>
      <c r="J174" s="57" t="str">
        <f t="shared" si="137"/>
        <v>X</v>
      </c>
      <c r="K174" s="57" t="str">
        <f t="shared" si="137"/>
        <v>X</v>
      </c>
      <c r="L174" s="57" t="str">
        <f t="shared" si="137"/>
        <v>X</v>
      </c>
      <c r="M174" s="57" t="str">
        <f t="shared" si="137"/>
        <v>X</v>
      </c>
      <c r="N174" s="57" t="str">
        <f t="shared" si="137"/>
        <v>X</v>
      </c>
      <c r="O174" s="57" t="str">
        <f t="shared" si="137"/>
        <v>X</v>
      </c>
      <c r="P174" s="57" t="e">
        <f t="shared" si="137"/>
        <v>#VALUE!</v>
      </c>
      <c r="Q174" s="57" t="e">
        <f t="shared" si="137"/>
        <v>#VALUE!</v>
      </c>
      <c r="R174" s="158"/>
      <c r="S174" t="s">
        <v>233</v>
      </c>
      <c r="U174">
        <f>H169</f>
        <v>26870</v>
      </c>
      <c r="V174">
        <f aca="true" t="shared" si="138" ref="V174:AD174">I169</f>
        <v>26870</v>
      </c>
      <c r="W174">
        <f t="shared" si="138"/>
        <v>26870</v>
      </c>
      <c r="X174">
        <f t="shared" si="138"/>
        <v>26870</v>
      </c>
      <c r="Y174">
        <f t="shared" si="138"/>
        <v>26870</v>
      </c>
      <c r="Z174">
        <f t="shared" si="138"/>
        <v>26870</v>
      </c>
      <c r="AA174">
        <f t="shared" si="138"/>
        <v>29670</v>
      </c>
      <c r="AB174">
        <f t="shared" si="138"/>
        <v>29670</v>
      </c>
      <c r="AC174">
        <f t="shared" si="138"/>
        <v>29670</v>
      </c>
      <c r="AD174">
        <f t="shared" si="138"/>
        <v>29670</v>
      </c>
      <c r="AS174" s="127"/>
      <c r="AT174" s="127"/>
      <c r="AU174" s="127"/>
      <c r="AV174" s="127"/>
      <c r="AW174" s="127"/>
      <c r="AX174" s="127"/>
      <c r="AY174" s="127"/>
      <c r="AZ174" s="127"/>
      <c r="BA174" s="127"/>
      <c r="BB174" s="127"/>
      <c r="BC174" s="127"/>
      <c r="BD174" s="127"/>
      <c r="BE174" s="127"/>
      <c r="BF174" s="127"/>
      <c r="BG174" s="127"/>
      <c r="BH174" s="127"/>
      <c r="BI174" s="127"/>
    </row>
    <row r="175" spans="8:61" ht="15.75" hidden="1" thickBot="1">
      <c r="H175" s="57" t="str">
        <f>IF(H174="x",IF(H168&gt;=29670,770,IF(H168&gt;=26870,700,IF(H168&gt;=23720,630,IF(H168&gt;=21440,570,IF(H168&gt;=18440,500,IF(H168&gt;=16640,450,IF(H168&gt;=14640,400,"x"))))))),H174)</f>
        <v>x</v>
      </c>
      <c r="I175" s="57" t="str">
        <f aca="true" t="shared" si="139" ref="I175:Q175">IF(I174="x",IF(I168&gt;=29670,770,IF(I168&gt;=26870,700,IF(I168&gt;=23720,630,IF(I168&gt;=21440,570,IF(I168&gt;=18440,500,IF(I168&gt;=16640,450,IF(I168&gt;=14640,400,"x"))))))),I174)</f>
        <v>x</v>
      </c>
      <c r="J175" s="57" t="str">
        <f t="shared" si="139"/>
        <v>x</v>
      </c>
      <c r="K175" s="57" t="str">
        <f t="shared" si="139"/>
        <v>x</v>
      </c>
      <c r="L175" s="57" t="str">
        <f t="shared" si="139"/>
        <v>x</v>
      </c>
      <c r="M175" s="57" t="str">
        <f t="shared" si="139"/>
        <v>x</v>
      </c>
      <c r="N175" s="57" t="str">
        <f t="shared" si="139"/>
        <v>x</v>
      </c>
      <c r="O175" s="57" t="str">
        <f t="shared" si="139"/>
        <v>x</v>
      </c>
      <c r="P175" s="57" t="e">
        <f t="shared" si="139"/>
        <v>#VALUE!</v>
      </c>
      <c r="Q175" s="57" t="e">
        <f t="shared" si="139"/>
        <v>#VALUE!</v>
      </c>
      <c r="R175" s="265" t="str">
        <f>CONCATENATE("Revised pay as on ",TEXT(S173,"dd/MM/yyyy"))</f>
        <v>Revised pay as on 01/02/2013</v>
      </c>
      <c r="S175" s="265"/>
      <c r="U175" s="57" t="str">
        <f>IF(U173&gt;U174,CONCATENATE(U174,"/- + P. P. ",U173-U174,"/-."),CONCATENATE(U173,"/-"))</f>
        <v>14280/-</v>
      </c>
      <c r="V175" s="57" t="str">
        <f aca="true" t="shared" si="140" ref="V175:AD175">IF(V173&gt;V174,CONCATENATE(V174,"/- + P. P. ",V173-V174,"/-."),CONCATENATE(V173,"/-"))</f>
        <v>14280/-</v>
      </c>
      <c r="W175" s="57" t="str">
        <f t="shared" si="140"/>
        <v>14280/-</v>
      </c>
      <c r="X175" s="57" t="str">
        <f t="shared" si="140"/>
        <v>14280/-</v>
      </c>
      <c r="Y175" s="57" t="str">
        <f t="shared" si="140"/>
        <v>14280/-</v>
      </c>
      <c r="Z175" s="57" t="str">
        <f t="shared" si="140"/>
        <v>14280/-</v>
      </c>
      <c r="AA175" s="57" t="str">
        <f t="shared" si="140"/>
        <v>14280/-</v>
      </c>
      <c r="AB175" s="57" t="str">
        <f t="shared" si="140"/>
        <v>14640/-</v>
      </c>
      <c r="AC175" s="57" t="str">
        <f t="shared" si="140"/>
        <v>0/-</v>
      </c>
      <c r="AD175" s="57" t="str">
        <f t="shared" si="140"/>
        <v>0/-</v>
      </c>
      <c r="AS175" s="127"/>
      <c r="AT175" s="127"/>
      <c r="AU175" s="127"/>
      <c r="AV175" s="127"/>
      <c r="AW175" s="127"/>
      <c r="AX175" s="127"/>
      <c r="AY175" s="127"/>
      <c r="AZ175" s="127"/>
      <c r="BA175" s="127"/>
      <c r="BB175" s="127"/>
      <c r="BC175" s="127"/>
      <c r="BD175" s="127"/>
      <c r="BE175" s="127"/>
      <c r="BF175" s="127"/>
      <c r="BG175" s="127"/>
      <c r="BH175" s="127"/>
      <c r="BI175" s="127"/>
    </row>
    <row r="176" spans="8:61" ht="15.75" hidden="1" thickBot="1">
      <c r="H176" s="120">
        <f>IF(H175="x",IF(H168&gt;=13200,360,IF(H168&gt;=12210,330,IF(H168&gt;=11010,300,IF(H168&gt;=9930,270,IF(H168&gt;=9430,250,240))))),H175)</f>
        <v>330</v>
      </c>
      <c r="I176" s="120">
        <f aca="true" t="shared" si="141" ref="I176:Q176">IF(I175="x",IF(I168&gt;=13200,360,IF(I168&gt;=12210,330,IF(I168&gt;=11010,300,IF(I168&gt;=9930,270,IF(I168&gt;=9430,250,240))))),I175)</f>
        <v>330</v>
      </c>
      <c r="J176" s="120">
        <f t="shared" si="141"/>
        <v>330</v>
      </c>
      <c r="K176" s="120">
        <f t="shared" si="141"/>
        <v>330</v>
      </c>
      <c r="L176" s="120">
        <f t="shared" si="141"/>
        <v>330</v>
      </c>
      <c r="M176" s="120">
        <f t="shared" si="141"/>
        <v>330</v>
      </c>
      <c r="N176" s="120">
        <f t="shared" si="141"/>
        <v>360</v>
      </c>
      <c r="O176" s="120">
        <f t="shared" si="141"/>
        <v>360</v>
      </c>
      <c r="P176" s="120" t="e">
        <f t="shared" si="141"/>
        <v>#VALUE!</v>
      </c>
      <c r="Q176" s="120" t="e">
        <f t="shared" si="141"/>
        <v>#VALUE!</v>
      </c>
      <c r="R176" s="199" t="s">
        <v>234</v>
      </c>
      <c r="S176" s="200">
        <f>IF(AE176="x",IF(AC176=1,AC161,AD161),AE176)</f>
        <v>40940</v>
      </c>
      <c r="U176">
        <f>IF(U173=AE173,1,0)</f>
        <v>0</v>
      </c>
      <c r="V176">
        <f>IF(U176=1,0,IF(AE173=V173,1,0))</f>
        <v>0</v>
      </c>
      <c r="W176">
        <f>IF(U176=1,0,IF(V176=1,0,IF(AE173=W173,1,0)))</f>
        <v>0</v>
      </c>
      <c r="X176">
        <f>IF(U176=1,0,IF(V176=1,0,IF(W176=1,0,IF(AE173=X173,1,0))))</f>
        <v>0</v>
      </c>
      <c r="Y176">
        <f>IF(U176=1,0,IF(V176=1,0,IF(W176=1,0,IF(X176=1,0,IF(AE173=Y173,1,0)))))</f>
        <v>0</v>
      </c>
      <c r="Z176">
        <f>IF(U176=1,0,IF(V176=1,0,IF(W176=1,0,IF(X176=1,0,IF(Y176=1,0,IF(AE173=Z173,1,0))))))</f>
        <v>0</v>
      </c>
      <c r="AA176">
        <f>IF(U176=1,0,IF(V176=1,0,IF(W176=1,0,IF(X176=1,0,IF(Y176=1,0,IF(Z176=1,0,IF(AE173=AA173,1,0)))))))</f>
        <v>0</v>
      </c>
      <c r="AB176">
        <f>IF(U176=1,0,IF(V176=1,0,IF(W176=1,0,IF(X176=1,0,IF(Y176=1,0,IF(Z176=1,0,IF(AA176=1,0,IF(AE173=AB173,1,0))))))))</f>
        <v>1</v>
      </c>
      <c r="AC176">
        <f>IF(U176=1,0,IF(V176=1,0,IF(W176=1,0,IF(X176=1,0,IF(Y176=1,0,IF(Z176=1,0,IF(AA176=1,0,IF(AB176=1,0,1))))))))</f>
        <v>0</v>
      </c>
      <c r="AD176">
        <f>IF(AC176=1,0,IF(AE173=AD173,1,0))</f>
        <v>0</v>
      </c>
      <c r="AE176" s="156">
        <f>IF(U176=1,U161,IF(V176=1,V161,IF(W176=1,W161,IF(X176=1,X161,IF(Y176=1,Y161,IF(Z176=1,Z161,IF(AA176=1,AA161,IF(AB176=1,AB161,"X"))))))))</f>
        <v>40940</v>
      </c>
      <c r="AS176" s="127"/>
      <c r="AT176" s="127"/>
      <c r="AU176" s="127"/>
      <c r="AV176" s="127"/>
      <c r="AW176" s="127"/>
      <c r="AX176" s="127"/>
      <c r="AY176" s="127"/>
      <c r="AZ176" s="127"/>
      <c r="BA176" s="127"/>
      <c r="BB176" s="127"/>
      <c r="BC176" s="127"/>
      <c r="BD176" s="127"/>
      <c r="BE176" s="127"/>
      <c r="BF176" s="127"/>
      <c r="BG176" s="127"/>
      <c r="BH176" s="127"/>
      <c r="BI176" s="127"/>
    </row>
    <row r="177" spans="8:61" ht="15" hidden="1">
      <c r="H177" s="57">
        <f>CEILING((H168-H173)/H176,1)</f>
        <v>1</v>
      </c>
      <c r="I177" s="57">
        <f aca="true" t="shared" si="142" ref="I177:Q177">CEILING((I168-I173)/I176,1)</f>
        <v>2</v>
      </c>
      <c r="J177" s="57">
        <f t="shared" si="142"/>
        <v>2</v>
      </c>
      <c r="K177" s="57">
        <f t="shared" si="142"/>
        <v>3</v>
      </c>
      <c r="L177" s="57">
        <f t="shared" si="142"/>
        <v>3</v>
      </c>
      <c r="M177" s="57">
        <f t="shared" si="142"/>
        <v>3</v>
      </c>
      <c r="N177" s="57">
        <f t="shared" si="142"/>
        <v>2</v>
      </c>
      <c r="O177" s="57">
        <f t="shared" si="142"/>
        <v>3</v>
      </c>
      <c r="P177" s="57" t="e">
        <f t="shared" si="142"/>
        <v>#VALUE!</v>
      </c>
      <c r="Q177" s="57" t="e">
        <f t="shared" si="142"/>
        <v>#VALUE!</v>
      </c>
      <c r="R177" s="158"/>
      <c r="AS177" s="127"/>
      <c r="AT177" s="127"/>
      <c r="AU177" s="127"/>
      <c r="AV177" s="127"/>
      <c r="AW177" s="127"/>
      <c r="AX177" s="127"/>
      <c r="AY177" s="127"/>
      <c r="AZ177" s="127"/>
      <c r="BA177" s="127"/>
      <c r="BB177" s="127"/>
      <c r="BC177" s="127"/>
      <c r="BD177" s="127"/>
      <c r="BE177" s="127"/>
      <c r="BF177" s="127"/>
      <c r="BG177" s="127"/>
      <c r="BH177" s="127"/>
      <c r="BI177" s="127"/>
    </row>
    <row r="178" spans="8:61" ht="15" hidden="1">
      <c r="H178">
        <f>H177-(H168-H173)/H176</f>
        <v>0.5151515151515151</v>
      </c>
      <c r="I178">
        <f aca="true" t="shared" si="143" ref="I178:Q178">I177-(I168-I173)/I176</f>
        <v>0.6121212121212121</v>
      </c>
      <c r="J178">
        <f t="shared" si="143"/>
        <v>0.5060606060606061</v>
      </c>
      <c r="K178">
        <f t="shared" si="143"/>
        <v>0.6000000000000001</v>
      </c>
      <c r="L178">
        <f t="shared" si="143"/>
        <v>0.49090909090909074</v>
      </c>
      <c r="M178">
        <f t="shared" si="143"/>
        <v>0.49090909090909074</v>
      </c>
      <c r="N178">
        <f t="shared" si="143"/>
        <v>0.7388888888888889</v>
      </c>
      <c r="O178">
        <f t="shared" si="143"/>
        <v>0.8583333333333334</v>
      </c>
      <c r="P178" t="e">
        <f t="shared" si="143"/>
        <v>#VALUE!</v>
      </c>
      <c r="Q178" t="e">
        <f t="shared" si="143"/>
        <v>#VALUE!</v>
      </c>
      <c r="R178" s="94"/>
      <c r="AS178" s="127"/>
      <c r="AT178" s="127"/>
      <c r="AU178" s="127"/>
      <c r="AV178" s="127"/>
      <c r="AW178" s="127"/>
      <c r="AX178" s="127"/>
      <c r="AY178" s="127"/>
      <c r="AZ178" s="127"/>
      <c r="BA178" s="127"/>
      <c r="BB178" s="127"/>
      <c r="BC178" s="127"/>
      <c r="BD178" s="127"/>
      <c r="BE178" s="127"/>
      <c r="BF178" s="127"/>
      <c r="BG178" s="127"/>
      <c r="BH178" s="127"/>
      <c r="BI178" s="127"/>
    </row>
    <row r="179" spans="8:61" ht="15" hidden="1">
      <c r="H179" s="121">
        <f>IF(H178=0,H177,H177)</f>
        <v>1</v>
      </c>
      <c r="I179" s="121">
        <f aca="true" t="shared" si="144" ref="I179:Q179">IF(I178=0,I177,I177)</f>
        <v>2</v>
      </c>
      <c r="J179" s="121">
        <f t="shared" si="144"/>
        <v>2</v>
      </c>
      <c r="K179" s="121">
        <f t="shared" si="144"/>
        <v>3</v>
      </c>
      <c r="L179" s="121">
        <f t="shared" si="144"/>
        <v>3</v>
      </c>
      <c r="M179" s="121">
        <f t="shared" si="144"/>
        <v>3</v>
      </c>
      <c r="N179" s="121">
        <f t="shared" si="144"/>
        <v>2</v>
      </c>
      <c r="O179" s="121">
        <f t="shared" si="144"/>
        <v>3</v>
      </c>
      <c r="P179" s="121" t="e">
        <f t="shared" si="144"/>
        <v>#VALUE!</v>
      </c>
      <c r="Q179" s="121" t="e">
        <f t="shared" si="144"/>
        <v>#VALUE!</v>
      </c>
      <c r="R179" s="162"/>
      <c r="AS179" s="127"/>
      <c r="AT179" s="127"/>
      <c r="AU179" s="127"/>
      <c r="AV179" s="127"/>
      <c r="AW179" s="127"/>
      <c r="AX179" s="127"/>
      <c r="AY179" s="127"/>
      <c r="AZ179" s="127"/>
      <c r="BA179" s="127"/>
      <c r="BB179" s="127"/>
      <c r="BC179" s="127"/>
      <c r="BD179" s="127"/>
      <c r="BE179" s="127"/>
      <c r="BF179" s="127"/>
      <c r="BG179" s="127"/>
      <c r="BH179" s="127"/>
      <c r="BI179" s="127"/>
    </row>
    <row r="180" spans="8:61" ht="15" hidden="1">
      <c r="H180" s="57">
        <f>IF(H168&lt;H170,H170,IF(IF(H168&gt;H169,H168,H173+H176*H179)&lt;H170,H170,IF(H168&gt;H169,H168,H173+H176*H179)))</f>
        <v>12540</v>
      </c>
      <c r="I180" s="57">
        <f aca="true" t="shared" si="145" ref="I180:Q180">IF(I168&lt;I170,I170,IF(IF(I168&gt;I169,I168,I173+I176*I179)&lt;I170,I170,IF(I168&gt;I169,I168,I173+I176*I179)))</f>
        <v>12870</v>
      </c>
      <c r="J180" s="57">
        <f t="shared" si="145"/>
        <v>12870</v>
      </c>
      <c r="K180" s="57">
        <f t="shared" si="145"/>
        <v>13200</v>
      </c>
      <c r="L180" s="57">
        <f t="shared" si="145"/>
        <v>13200</v>
      </c>
      <c r="M180" s="57">
        <f t="shared" si="145"/>
        <v>13200</v>
      </c>
      <c r="N180" s="57">
        <f t="shared" si="145"/>
        <v>13920</v>
      </c>
      <c r="O180" s="57">
        <f t="shared" si="145"/>
        <v>14280</v>
      </c>
      <c r="P180" s="57" t="e">
        <f t="shared" si="145"/>
        <v>#VALUE!</v>
      </c>
      <c r="Q180" s="57" t="e">
        <f t="shared" si="145"/>
        <v>#VALUE!</v>
      </c>
      <c r="R180" s="158"/>
      <c r="AS180" s="127"/>
      <c r="AT180" s="127"/>
      <c r="AU180" s="127"/>
      <c r="AV180" s="127"/>
      <c r="AW180" s="127"/>
      <c r="AX180" s="127"/>
      <c r="AY180" s="127"/>
      <c r="AZ180" s="127"/>
      <c r="BA180" s="127"/>
      <c r="BB180" s="127"/>
      <c r="BC180" s="127"/>
      <c r="BD180" s="127"/>
      <c r="BE180" s="127"/>
      <c r="BF180" s="127"/>
      <c r="BG180" s="127"/>
      <c r="BH180" s="127"/>
      <c r="BI180" s="127"/>
    </row>
    <row r="181" spans="5:61" ht="15" hidden="1">
      <c r="E181" s="266" t="s">
        <v>220</v>
      </c>
      <c r="F181" s="266"/>
      <c r="G181" s="266"/>
      <c r="H181" s="122" t="str">
        <f>IF(H180&lt;H170,CONCATENATE(H170,"/-"),IF(H180&gt;H169,CONCATENATE(H169,"/- + P. P. ",H180-H169,"/-."),CONCATENATE(H180,"/-")))</f>
        <v>12540/-</v>
      </c>
      <c r="I181" s="122" t="str">
        <f aca="true" t="shared" si="146" ref="I181:Q181">IF(I180&lt;I170,CONCATENATE(I170,"/-"),IF(I180&gt;I169,CONCATENATE(I169,"/- + P. P. ",I180-I169,"/-."),CONCATENATE(I180,"/-")))</f>
        <v>12870/-</v>
      </c>
      <c r="J181" s="122" t="str">
        <f t="shared" si="146"/>
        <v>12870/-</v>
      </c>
      <c r="K181" s="122" t="str">
        <f t="shared" si="146"/>
        <v>13200/-</v>
      </c>
      <c r="L181" s="122" t="str">
        <f t="shared" si="146"/>
        <v>13200/-</v>
      </c>
      <c r="M181" s="122" t="str">
        <f t="shared" si="146"/>
        <v>13200/-</v>
      </c>
      <c r="N181" s="122" t="str">
        <f t="shared" si="146"/>
        <v>13920/-</v>
      </c>
      <c r="O181" s="122" t="str">
        <f t="shared" si="146"/>
        <v>14280/-</v>
      </c>
      <c r="P181" s="122" t="e">
        <f t="shared" si="146"/>
        <v>#VALUE!</v>
      </c>
      <c r="Q181" s="122" t="e">
        <f t="shared" si="146"/>
        <v>#VALUE!</v>
      </c>
      <c r="R181" s="94"/>
      <c r="AS181" s="127"/>
      <c r="AT181" s="127"/>
      <c r="AU181" s="127"/>
      <c r="AV181" s="127"/>
      <c r="AW181" s="127"/>
      <c r="AX181" s="127"/>
      <c r="AY181" s="127"/>
      <c r="AZ181" s="127"/>
      <c r="BA181" s="127"/>
      <c r="BB181" s="127"/>
      <c r="BC181" s="127"/>
      <c r="BD181" s="127"/>
      <c r="BE181" s="127"/>
      <c r="BF181" s="127"/>
      <c r="BG181" s="127"/>
      <c r="BH181" s="127"/>
      <c r="BI181" s="127"/>
    </row>
    <row r="182" spans="8:61" ht="15" hidden="1">
      <c r="H182" s="66">
        <f>IF(H169&lt;=H180,H169-1,H180)</f>
        <v>12540</v>
      </c>
      <c r="I182" s="66">
        <f aca="true" t="shared" si="147" ref="I182:Q182">IF(I169&lt;=I180,I169-1,I180)</f>
        <v>12870</v>
      </c>
      <c r="J182" s="66">
        <f t="shared" si="147"/>
        <v>12870</v>
      </c>
      <c r="K182" s="66">
        <f t="shared" si="147"/>
        <v>13200</v>
      </c>
      <c r="L182" s="66">
        <f t="shared" si="147"/>
        <v>13200</v>
      </c>
      <c r="M182" s="66">
        <f t="shared" si="147"/>
        <v>13200</v>
      </c>
      <c r="N182" s="66">
        <f t="shared" si="147"/>
        <v>13920</v>
      </c>
      <c r="O182" s="66">
        <f t="shared" si="147"/>
        <v>14280</v>
      </c>
      <c r="P182" s="66" t="e">
        <f t="shared" si="147"/>
        <v>#VALUE!</v>
      </c>
      <c r="Q182" s="66" t="e">
        <f t="shared" si="147"/>
        <v>#VALUE!</v>
      </c>
      <c r="R182" s="163"/>
      <c r="AS182" s="127"/>
      <c r="AT182" s="127"/>
      <c r="AU182" s="127"/>
      <c r="AV182" s="127"/>
      <c r="AW182" s="127"/>
      <c r="AX182" s="127"/>
      <c r="AY182" s="127"/>
      <c r="AZ182" s="127"/>
      <c r="BA182" s="127"/>
      <c r="BB182" s="127"/>
      <c r="BC182" s="127"/>
      <c r="BD182" s="127"/>
      <c r="BE182" s="127"/>
      <c r="BF182" s="127"/>
      <c r="BG182" s="127"/>
      <c r="BH182" s="127"/>
      <c r="BI182" s="127"/>
    </row>
    <row r="183" spans="8:61" ht="15" hidden="1">
      <c r="H183" s="66" t="str">
        <f>IF(H182&gt;=59250,1400,IF(H182&gt;=54050,1300,IF(H182&gt;=49250,1200,IF(H182&gt;=43750,1100,IF(H182&gt;=39750,1000,IF(H182&gt;=36110,910,IF(H182&gt;=32750,840,"X")))))))</f>
        <v>X</v>
      </c>
      <c r="I183" s="66" t="str">
        <f aca="true" t="shared" si="148" ref="I183:Q183">IF(I182&gt;=59250,1400,IF(I182&gt;=54050,1300,IF(I182&gt;=49250,1200,IF(I182&gt;=43750,1100,IF(I182&gt;=39750,1000,IF(I182&gt;=36110,910,IF(I182&gt;=32750,840,"X")))))))</f>
        <v>X</v>
      </c>
      <c r="J183" s="66" t="str">
        <f t="shared" si="148"/>
        <v>X</v>
      </c>
      <c r="K183" s="66" t="str">
        <f t="shared" si="148"/>
        <v>X</v>
      </c>
      <c r="L183" s="66" t="str">
        <f t="shared" si="148"/>
        <v>X</v>
      </c>
      <c r="M183" s="66" t="str">
        <f t="shared" si="148"/>
        <v>X</v>
      </c>
      <c r="N183" s="66" t="str">
        <f t="shared" si="148"/>
        <v>X</v>
      </c>
      <c r="O183" s="66" t="str">
        <f t="shared" si="148"/>
        <v>X</v>
      </c>
      <c r="P183" s="66" t="e">
        <f t="shared" si="148"/>
        <v>#VALUE!</v>
      </c>
      <c r="Q183" s="66" t="e">
        <f t="shared" si="148"/>
        <v>#VALUE!</v>
      </c>
      <c r="R183" s="163"/>
      <c r="AS183" s="127"/>
      <c r="AT183" s="127"/>
      <c r="AU183" s="127"/>
      <c r="AV183" s="127"/>
      <c r="AW183" s="127"/>
      <c r="AX183" s="127"/>
      <c r="AY183" s="127"/>
      <c r="AZ183" s="127"/>
      <c r="BA183" s="127"/>
      <c r="BB183" s="127"/>
      <c r="BC183" s="127"/>
      <c r="BD183" s="127"/>
      <c r="BE183" s="127"/>
      <c r="BF183" s="127"/>
      <c r="BG183" s="127"/>
      <c r="BH183" s="127"/>
      <c r="BI183" s="127"/>
    </row>
    <row r="184" spans="8:61" ht="15" hidden="1">
      <c r="H184" s="66" t="str">
        <f>IF(H183="x",IF(H182&gt;=29670,770,IF(H182&gt;=26870,700,IF(H182&gt;=23720,630,IF(H182&gt;=21440,570,IF(H182&gt;=18440,500,IF(H182&gt;=16640,450,IF(H182&gt;=14640,400,"x"))))))),H183)</f>
        <v>x</v>
      </c>
      <c r="I184" s="66" t="str">
        <f aca="true" t="shared" si="149" ref="I184:Q184">IF(I183="x",IF(I182&gt;=29670,770,IF(I182&gt;=26870,700,IF(I182&gt;=23720,630,IF(I182&gt;=21440,570,IF(I182&gt;=18440,500,IF(I182&gt;=16640,450,IF(I182&gt;=14640,400,"x"))))))),I183)</f>
        <v>x</v>
      </c>
      <c r="J184" s="66" t="str">
        <f t="shared" si="149"/>
        <v>x</v>
      </c>
      <c r="K184" s="66" t="str">
        <f t="shared" si="149"/>
        <v>x</v>
      </c>
      <c r="L184" s="66" t="str">
        <f t="shared" si="149"/>
        <v>x</v>
      </c>
      <c r="M184" s="66" t="str">
        <f t="shared" si="149"/>
        <v>x</v>
      </c>
      <c r="N184" s="66" t="str">
        <f t="shared" si="149"/>
        <v>x</v>
      </c>
      <c r="O184" s="66" t="str">
        <f t="shared" si="149"/>
        <v>x</v>
      </c>
      <c r="P184" s="66" t="e">
        <f t="shared" si="149"/>
        <v>#VALUE!</v>
      </c>
      <c r="Q184" s="66" t="e">
        <f t="shared" si="149"/>
        <v>#VALUE!</v>
      </c>
      <c r="R184" s="163"/>
      <c r="AS184" s="127"/>
      <c r="AT184" s="127"/>
      <c r="AU184" s="127"/>
      <c r="AV184" s="127"/>
      <c r="AW184" s="127"/>
      <c r="AX184" s="127"/>
      <c r="AY184" s="127"/>
      <c r="AZ184" s="127"/>
      <c r="BA184" s="127"/>
      <c r="BB184" s="127"/>
      <c r="BC184" s="127"/>
      <c r="BD184" s="127"/>
      <c r="BE184" s="127"/>
      <c r="BF184" s="127"/>
      <c r="BG184" s="127"/>
      <c r="BH184" s="127"/>
      <c r="BI184" s="127"/>
    </row>
    <row r="185" spans="8:61" ht="15" hidden="1">
      <c r="H185" s="123">
        <f>IF(H184="x",IF(H182&gt;=13200,360,IF(H182&gt;=12210,330,IF(H182&gt;=11010,300,IF(H182&gt;=9930,270,IF(H182&gt;=9430,250,240))))),H184)</f>
        <v>330</v>
      </c>
      <c r="I185" s="123">
        <f aca="true" t="shared" si="150" ref="I185:Q185">IF(I184="x",IF(I182&gt;=13200,360,IF(I182&gt;=12210,330,IF(I182&gt;=11010,300,IF(I182&gt;=9930,270,IF(I182&gt;=9430,250,240))))),I184)</f>
        <v>330</v>
      </c>
      <c r="J185" s="123">
        <f t="shared" si="150"/>
        <v>330</v>
      </c>
      <c r="K185" s="123">
        <f t="shared" si="150"/>
        <v>360</v>
      </c>
      <c r="L185" s="123">
        <f t="shared" si="150"/>
        <v>360</v>
      </c>
      <c r="M185" s="123">
        <f t="shared" si="150"/>
        <v>360</v>
      </c>
      <c r="N185" s="123">
        <f t="shared" si="150"/>
        <v>360</v>
      </c>
      <c r="O185" s="123">
        <f t="shared" si="150"/>
        <v>360</v>
      </c>
      <c r="P185" s="123" t="e">
        <f t="shared" si="150"/>
        <v>#VALUE!</v>
      </c>
      <c r="Q185" s="123" t="e">
        <f t="shared" si="150"/>
        <v>#VALUE!</v>
      </c>
      <c r="R185" s="164"/>
      <c r="AS185" s="127"/>
      <c r="AT185" s="127"/>
      <c r="AU185" s="127"/>
      <c r="AV185" s="127"/>
      <c r="AW185" s="127"/>
      <c r="AX185" s="127"/>
      <c r="AY185" s="127"/>
      <c r="AZ185" s="127"/>
      <c r="BA185" s="127"/>
      <c r="BB185" s="127"/>
      <c r="BC185" s="127"/>
      <c r="BD185" s="127"/>
      <c r="BE185" s="127"/>
      <c r="BF185" s="127"/>
      <c r="BG185" s="127"/>
      <c r="BH185" s="127"/>
      <c r="BI185" s="127"/>
    </row>
    <row r="186" spans="8:61" ht="15" hidden="1">
      <c r="H186">
        <f>H180+H185</f>
        <v>12870</v>
      </c>
      <c r="I186">
        <f aca="true" t="shared" si="151" ref="I186:Q186">I180+I185</f>
        <v>13200</v>
      </c>
      <c r="J186">
        <f t="shared" si="151"/>
        <v>13200</v>
      </c>
      <c r="K186">
        <f t="shared" si="151"/>
        <v>13560</v>
      </c>
      <c r="L186">
        <f t="shared" si="151"/>
        <v>13560</v>
      </c>
      <c r="M186">
        <f t="shared" si="151"/>
        <v>13560</v>
      </c>
      <c r="N186">
        <f t="shared" si="151"/>
        <v>14280</v>
      </c>
      <c r="O186">
        <f t="shared" si="151"/>
        <v>14640</v>
      </c>
      <c r="P186" t="e">
        <f t="shared" si="151"/>
        <v>#VALUE!</v>
      </c>
      <c r="Q186" t="e">
        <f t="shared" si="151"/>
        <v>#VALUE!</v>
      </c>
      <c r="R186" s="94"/>
      <c r="AS186" s="127"/>
      <c r="AT186" s="127"/>
      <c r="AU186" s="127"/>
      <c r="AV186" s="127"/>
      <c r="AW186" s="127"/>
      <c r="AX186" s="127"/>
      <c r="AY186" s="127"/>
      <c r="AZ186" s="127"/>
      <c r="BA186" s="127"/>
      <c r="BB186" s="127"/>
      <c r="BC186" s="127"/>
      <c r="BD186" s="127"/>
      <c r="BE186" s="127"/>
      <c r="BF186" s="127"/>
      <c r="BG186" s="127"/>
      <c r="BH186" s="127"/>
      <c r="BI186" s="127"/>
    </row>
    <row r="187" spans="5:61" ht="15" hidden="1">
      <c r="E187" s="264" t="s">
        <v>230</v>
      </c>
      <c r="F187" s="264"/>
      <c r="G187" s="264"/>
      <c r="H187" s="124" t="str">
        <f>IF(H186&lt;H170,CONCATENATE(H170,"/-"),IF(H186&gt;H169,CONCATENATE(H169,"/- + P. P. ",H186-H169,"/-."),CONCATENATE(H186,"/-")))</f>
        <v>12870/-</v>
      </c>
      <c r="I187" s="124" t="str">
        <f aca="true" t="shared" si="152" ref="I187:Q187">IF(I186&lt;I170,CONCATENATE(I170,"/-"),IF(I186&gt;I169,CONCATENATE(I169,"/- + P. P. ",I186-I169,"/-."),CONCATENATE(I186,"/-")))</f>
        <v>13200/-</v>
      </c>
      <c r="J187" s="124" t="str">
        <f t="shared" si="152"/>
        <v>13200/-</v>
      </c>
      <c r="K187" s="124" t="str">
        <f t="shared" si="152"/>
        <v>13560/-</v>
      </c>
      <c r="L187" s="124" t="str">
        <f t="shared" si="152"/>
        <v>13560/-</v>
      </c>
      <c r="M187" s="124" t="str">
        <f t="shared" si="152"/>
        <v>13560/-</v>
      </c>
      <c r="N187" s="124" t="str">
        <f t="shared" si="152"/>
        <v>14280/-</v>
      </c>
      <c r="O187" s="124" t="str">
        <f t="shared" si="152"/>
        <v>14640/-</v>
      </c>
      <c r="P187" s="124" t="e">
        <f t="shared" si="152"/>
        <v>#VALUE!</v>
      </c>
      <c r="Q187" s="124" t="e">
        <f t="shared" si="152"/>
        <v>#VALUE!</v>
      </c>
      <c r="R187" s="94"/>
      <c r="AS187" s="127"/>
      <c r="AT187" s="127"/>
      <c r="AU187" s="127"/>
      <c r="AV187" s="127"/>
      <c r="AW187" s="127"/>
      <c r="AX187" s="127"/>
      <c r="AY187" s="127"/>
      <c r="AZ187" s="127"/>
      <c r="BA187" s="127"/>
      <c r="BB187" s="127"/>
      <c r="BC187" s="127"/>
      <c r="BD187" s="127"/>
      <c r="BE187" s="127"/>
      <c r="BF187" s="127"/>
      <c r="BG187" s="127"/>
      <c r="BH187" s="127"/>
      <c r="BI187" s="127"/>
    </row>
    <row r="188" spans="8:61" ht="15" hidden="1">
      <c r="H188" s="66">
        <f>IF(H169&lt;H186,H169-1,H186)</f>
        <v>12870</v>
      </c>
      <c r="I188" s="66">
        <f aca="true" t="shared" si="153" ref="I188:Q188">IF(I169&lt;I186,I169-1,I186)</f>
        <v>13200</v>
      </c>
      <c r="J188" s="66">
        <f t="shared" si="153"/>
        <v>13200</v>
      </c>
      <c r="K188" s="66">
        <f t="shared" si="153"/>
        <v>13560</v>
      </c>
      <c r="L188" s="66">
        <f t="shared" si="153"/>
        <v>13560</v>
      </c>
      <c r="M188" s="66">
        <f t="shared" si="153"/>
        <v>13560</v>
      </c>
      <c r="N188" s="66">
        <f t="shared" si="153"/>
        <v>14280</v>
      </c>
      <c r="O188" s="66">
        <f t="shared" si="153"/>
        <v>14640</v>
      </c>
      <c r="P188" s="66" t="e">
        <f t="shared" si="153"/>
        <v>#VALUE!</v>
      </c>
      <c r="Q188" s="66" t="e">
        <f t="shared" si="153"/>
        <v>#VALUE!</v>
      </c>
      <c r="R188" s="163"/>
      <c r="AS188" s="127"/>
      <c r="AT188" s="127"/>
      <c r="AU188" s="127"/>
      <c r="AV188" s="127"/>
      <c r="AW188" s="127"/>
      <c r="AX188" s="127"/>
      <c r="AY188" s="127"/>
      <c r="AZ188" s="127"/>
      <c r="BA188" s="127"/>
      <c r="BB188" s="127"/>
      <c r="BC188" s="127"/>
      <c r="BD188" s="127"/>
      <c r="BE188" s="127"/>
      <c r="BF188" s="127"/>
      <c r="BG188" s="127"/>
      <c r="BH188" s="127"/>
      <c r="BI188" s="127"/>
    </row>
    <row r="189" spans="8:61" ht="15" hidden="1">
      <c r="H189" s="66" t="str">
        <f>IF(H188&gt;=59250,1400,IF(H188&gt;=54050,1300,IF(H188&gt;=49250,1200,IF(H188&gt;=43750,1100,IF(H188&gt;=39750,1000,IF(H188&gt;=36110,910,IF(H188&gt;=32750,840,"X")))))))</f>
        <v>X</v>
      </c>
      <c r="I189" s="66" t="str">
        <f aca="true" t="shared" si="154" ref="I189:Q189">IF(I188&gt;=59250,1400,IF(I188&gt;=54050,1300,IF(I188&gt;=49250,1200,IF(I188&gt;=43750,1100,IF(I188&gt;=39750,1000,IF(I188&gt;=36110,910,IF(I188&gt;=32750,840,"X")))))))</f>
        <v>X</v>
      </c>
      <c r="J189" s="66" t="str">
        <f t="shared" si="154"/>
        <v>X</v>
      </c>
      <c r="K189" s="66" t="str">
        <f t="shared" si="154"/>
        <v>X</v>
      </c>
      <c r="L189" s="66" t="str">
        <f t="shared" si="154"/>
        <v>X</v>
      </c>
      <c r="M189" s="66" t="str">
        <f t="shared" si="154"/>
        <v>X</v>
      </c>
      <c r="N189" s="66" t="str">
        <f t="shared" si="154"/>
        <v>X</v>
      </c>
      <c r="O189" s="66" t="str">
        <f t="shared" si="154"/>
        <v>X</v>
      </c>
      <c r="P189" s="66" t="e">
        <f t="shared" si="154"/>
        <v>#VALUE!</v>
      </c>
      <c r="Q189" s="66" t="e">
        <f t="shared" si="154"/>
        <v>#VALUE!</v>
      </c>
      <c r="R189" s="163"/>
      <c r="AS189" s="127"/>
      <c r="AT189" s="127"/>
      <c r="AU189" s="127"/>
      <c r="AV189" s="127"/>
      <c r="AW189" s="127"/>
      <c r="AX189" s="127"/>
      <c r="AY189" s="127"/>
      <c r="AZ189" s="127"/>
      <c r="BA189" s="127"/>
      <c r="BB189" s="127"/>
      <c r="BC189" s="127"/>
      <c r="BD189" s="127"/>
      <c r="BE189" s="127"/>
      <c r="BF189" s="127"/>
      <c r="BG189" s="127"/>
      <c r="BH189" s="127"/>
      <c r="BI189" s="127"/>
    </row>
    <row r="190" spans="8:61" ht="15" hidden="1">
      <c r="H190" s="66" t="str">
        <f>IF(H189="x",IF(H188&gt;=29670,770,IF(H188&gt;=26870,700,IF(H188&gt;=23720,630,IF(H188&gt;=21440,570,IF(H188&gt;=18440,500,IF(H188&gt;=16640,450,IF(H188&gt;=14640,400,"x"))))))),H189)</f>
        <v>x</v>
      </c>
      <c r="I190" s="66" t="str">
        <f aca="true" t="shared" si="155" ref="I190:Q190">IF(I189="x",IF(I188&gt;=29670,770,IF(I188&gt;=26870,700,IF(I188&gt;=23720,630,IF(I188&gt;=21440,570,IF(I188&gt;=18440,500,IF(I188&gt;=16640,450,IF(I188&gt;=14640,400,"x"))))))),I189)</f>
        <v>x</v>
      </c>
      <c r="J190" s="66" t="str">
        <f t="shared" si="155"/>
        <v>x</v>
      </c>
      <c r="K190" s="66" t="str">
        <f t="shared" si="155"/>
        <v>x</v>
      </c>
      <c r="L190" s="66" t="str">
        <f t="shared" si="155"/>
        <v>x</v>
      </c>
      <c r="M190" s="66" t="str">
        <f t="shared" si="155"/>
        <v>x</v>
      </c>
      <c r="N190" s="66" t="str">
        <f t="shared" si="155"/>
        <v>x</v>
      </c>
      <c r="O190" s="66">
        <f t="shared" si="155"/>
        <v>400</v>
      </c>
      <c r="P190" s="66" t="e">
        <f t="shared" si="155"/>
        <v>#VALUE!</v>
      </c>
      <c r="Q190" s="66" t="e">
        <f t="shared" si="155"/>
        <v>#VALUE!</v>
      </c>
      <c r="R190" s="163"/>
      <c r="AS190" s="127"/>
      <c r="AT190" s="127"/>
      <c r="AU190" s="127"/>
      <c r="AV190" s="127"/>
      <c r="AW190" s="127"/>
      <c r="AX190" s="127"/>
      <c r="AY190" s="127"/>
      <c r="AZ190" s="127"/>
      <c r="BA190" s="127"/>
      <c r="BB190" s="127"/>
      <c r="BC190" s="127"/>
      <c r="BD190" s="127"/>
      <c r="BE190" s="127"/>
      <c r="BF190" s="127"/>
      <c r="BG190" s="127"/>
      <c r="BH190" s="127"/>
      <c r="BI190" s="127"/>
    </row>
    <row r="191" spans="8:61" ht="15" hidden="1">
      <c r="H191" s="123">
        <f>IF(H190="x",IF(H188&gt;=13200,360,IF(H188&gt;=12210,330,IF(H188&gt;=11010,300,IF(H188&gt;=9930,270,IF(H188&gt;=9430,250,240))))),H190)</f>
        <v>330</v>
      </c>
      <c r="I191" s="123">
        <f aca="true" t="shared" si="156" ref="I191:Q191">IF(I190="x",IF(I188&gt;=13200,360,IF(I188&gt;=12210,330,IF(I188&gt;=11010,300,IF(I188&gt;=9930,270,IF(I188&gt;=9430,250,240))))),I190)</f>
        <v>360</v>
      </c>
      <c r="J191" s="123">
        <f t="shared" si="156"/>
        <v>360</v>
      </c>
      <c r="K191" s="123">
        <f t="shared" si="156"/>
        <v>360</v>
      </c>
      <c r="L191" s="123">
        <f t="shared" si="156"/>
        <v>360</v>
      </c>
      <c r="M191" s="123">
        <f t="shared" si="156"/>
        <v>360</v>
      </c>
      <c r="N191" s="123">
        <f t="shared" si="156"/>
        <v>360</v>
      </c>
      <c r="O191" s="123">
        <f t="shared" si="156"/>
        <v>400</v>
      </c>
      <c r="P191" s="123" t="e">
        <f t="shared" si="156"/>
        <v>#VALUE!</v>
      </c>
      <c r="Q191" s="123" t="e">
        <f t="shared" si="156"/>
        <v>#VALUE!</v>
      </c>
      <c r="R191" s="164"/>
      <c r="AS191" s="127"/>
      <c r="AT191" s="127"/>
      <c r="AU191" s="127"/>
      <c r="AV191" s="127"/>
      <c r="AW191" s="127"/>
      <c r="AX191" s="127"/>
      <c r="AY191" s="127"/>
      <c r="AZ191" s="127"/>
      <c r="BA191" s="127"/>
      <c r="BB191" s="127"/>
      <c r="BC191" s="127"/>
      <c r="BD191" s="127"/>
      <c r="BE191" s="127"/>
      <c r="BF191" s="127"/>
      <c r="BG191" s="127"/>
      <c r="BH191" s="127"/>
      <c r="BI191" s="127"/>
    </row>
    <row r="192" spans="8:61" ht="15" hidden="1">
      <c r="H192" s="66">
        <f>H186+H191</f>
        <v>13200</v>
      </c>
      <c r="I192" s="66">
        <f aca="true" t="shared" si="157" ref="I192:Q192">I186+I191</f>
        <v>13560</v>
      </c>
      <c r="J192" s="66">
        <f t="shared" si="157"/>
        <v>13560</v>
      </c>
      <c r="K192" s="66">
        <f t="shared" si="157"/>
        <v>13920</v>
      </c>
      <c r="L192" s="66">
        <f t="shared" si="157"/>
        <v>13920</v>
      </c>
      <c r="M192" s="66">
        <f t="shared" si="157"/>
        <v>13920</v>
      </c>
      <c r="N192" s="66">
        <f t="shared" si="157"/>
        <v>14640</v>
      </c>
      <c r="O192" s="66">
        <f t="shared" si="157"/>
        <v>15040</v>
      </c>
      <c r="P192" s="66" t="e">
        <f t="shared" si="157"/>
        <v>#VALUE!</v>
      </c>
      <c r="Q192" s="66" t="e">
        <f t="shared" si="157"/>
        <v>#VALUE!</v>
      </c>
      <c r="R192" s="163"/>
      <c r="AS192" s="127"/>
      <c r="AT192" s="127"/>
      <c r="AU192" s="127"/>
      <c r="AV192" s="127"/>
      <c r="AW192" s="127"/>
      <c r="AX192" s="127"/>
      <c r="AY192" s="127"/>
      <c r="AZ192" s="127"/>
      <c r="BA192" s="127"/>
      <c r="BB192" s="127"/>
      <c r="BC192" s="127"/>
      <c r="BD192" s="127"/>
      <c r="BE192" s="127"/>
      <c r="BF192" s="127"/>
      <c r="BG192" s="127"/>
      <c r="BH192" s="127"/>
      <c r="BI192" s="127"/>
    </row>
    <row r="193" spans="5:61" ht="15" hidden="1">
      <c r="E193" s="264" t="s">
        <v>231</v>
      </c>
      <c r="F193" s="264"/>
      <c r="G193" s="264"/>
      <c r="H193" s="124" t="str">
        <f>IF(H192&lt;H170,CONCATENATE(H170,"/-"),IF(H192&gt;H169,CONCATENATE(H169,"/- + P. P. ",H192-H169,"/-."),CONCATENATE(H192,"/-")))</f>
        <v>13200/-</v>
      </c>
      <c r="I193" s="124" t="str">
        <f aca="true" t="shared" si="158" ref="I193:Q193">IF(I192&lt;I170,CONCATENATE(I170,"/-"),IF(I192&gt;I169,CONCATENATE(I169,"/- + P. P. ",I192-I169,"/-."),CONCATENATE(I192,"/-")))</f>
        <v>13560/-</v>
      </c>
      <c r="J193" s="124" t="str">
        <f t="shared" si="158"/>
        <v>13560/-</v>
      </c>
      <c r="K193" s="124" t="str">
        <f t="shared" si="158"/>
        <v>13920/-</v>
      </c>
      <c r="L193" s="124" t="str">
        <f t="shared" si="158"/>
        <v>13920/-</v>
      </c>
      <c r="M193" s="124" t="str">
        <f t="shared" si="158"/>
        <v>13920/-</v>
      </c>
      <c r="N193" s="124" t="str">
        <f t="shared" si="158"/>
        <v>14640/-</v>
      </c>
      <c r="O193" s="124" t="str">
        <f t="shared" si="158"/>
        <v>15040/-</v>
      </c>
      <c r="P193" s="124" t="e">
        <f t="shared" si="158"/>
        <v>#VALUE!</v>
      </c>
      <c r="Q193" s="124" t="e">
        <f t="shared" si="158"/>
        <v>#VALUE!</v>
      </c>
      <c r="R193" s="94"/>
      <c r="AS193" s="127"/>
      <c r="AT193" s="127"/>
      <c r="AU193" s="127"/>
      <c r="AV193" s="127"/>
      <c r="AW193" s="127"/>
      <c r="AX193" s="127"/>
      <c r="AY193" s="127"/>
      <c r="AZ193" s="127"/>
      <c r="BA193" s="127"/>
      <c r="BB193" s="127"/>
      <c r="BC193" s="127"/>
      <c r="BD193" s="127"/>
      <c r="BE193" s="127"/>
      <c r="BF193" s="127"/>
      <c r="BG193" s="127"/>
      <c r="BH193" s="127"/>
      <c r="BI193" s="127"/>
    </row>
    <row r="194" spans="8:61" ht="15" hidden="1">
      <c r="H194" s="66">
        <f>IF(H169&lt;H192,H169-1,H192)</f>
        <v>13200</v>
      </c>
      <c r="I194" s="66">
        <f aca="true" t="shared" si="159" ref="I194:Q194">IF(I169&lt;I192,I169-1,I192)</f>
        <v>13560</v>
      </c>
      <c r="J194" s="66">
        <f t="shared" si="159"/>
        <v>13560</v>
      </c>
      <c r="K194" s="66">
        <f t="shared" si="159"/>
        <v>13920</v>
      </c>
      <c r="L194" s="66">
        <f t="shared" si="159"/>
        <v>13920</v>
      </c>
      <c r="M194" s="66">
        <f t="shared" si="159"/>
        <v>13920</v>
      </c>
      <c r="N194" s="66">
        <f t="shared" si="159"/>
        <v>14640</v>
      </c>
      <c r="O194" s="66">
        <f t="shared" si="159"/>
        <v>15040</v>
      </c>
      <c r="P194" s="66" t="e">
        <f t="shared" si="159"/>
        <v>#VALUE!</v>
      </c>
      <c r="Q194" s="66" t="e">
        <f t="shared" si="159"/>
        <v>#VALUE!</v>
      </c>
      <c r="R194" s="163"/>
      <c r="AS194" s="127"/>
      <c r="AT194" s="127"/>
      <c r="AU194" s="127"/>
      <c r="AV194" s="127"/>
      <c r="AW194" s="127"/>
      <c r="AX194" s="127"/>
      <c r="AY194" s="127"/>
      <c r="AZ194" s="127"/>
      <c r="BA194" s="127"/>
      <c r="BB194" s="127"/>
      <c r="BC194" s="127"/>
      <c r="BD194" s="127"/>
      <c r="BE194" s="127"/>
      <c r="BF194" s="127"/>
      <c r="BG194" s="127"/>
      <c r="BH194" s="127"/>
      <c r="BI194" s="127"/>
    </row>
    <row r="195" spans="8:61" ht="15" hidden="1">
      <c r="H195" s="66" t="str">
        <f>IF(H194&gt;=59250,1400,IF(H194&gt;=54050,1300,IF(H194&gt;=49250,1200,IF(H194&gt;=43750,1100,IF(H194&gt;=39750,1000,IF(H194&gt;=36110,910,IF(H194&gt;=32750,840,"X")))))))</f>
        <v>X</v>
      </c>
      <c r="I195" s="66" t="str">
        <f aca="true" t="shared" si="160" ref="I195:Q195">IF(I194&gt;=59250,1400,IF(I194&gt;=54050,1300,IF(I194&gt;=49250,1200,IF(I194&gt;=43750,1100,IF(I194&gt;=39750,1000,IF(I194&gt;=36110,910,IF(I194&gt;=32750,840,"X")))))))</f>
        <v>X</v>
      </c>
      <c r="J195" s="66" t="str">
        <f t="shared" si="160"/>
        <v>X</v>
      </c>
      <c r="K195" s="66" t="str">
        <f t="shared" si="160"/>
        <v>X</v>
      </c>
      <c r="L195" s="66" t="str">
        <f t="shared" si="160"/>
        <v>X</v>
      </c>
      <c r="M195" s="66" t="str">
        <f t="shared" si="160"/>
        <v>X</v>
      </c>
      <c r="N195" s="66" t="str">
        <f t="shared" si="160"/>
        <v>X</v>
      </c>
      <c r="O195" s="66" t="str">
        <f t="shared" si="160"/>
        <v>X</v>
      </c>
      <c r="P195" s="66" t="e">
        <f t="shared" si="160"/>
        <v>#VALUE!</v>
      </c>
      <c r="Q195" s="66" t="e">
        <f t="shared" si="160"/>
        <v>#VALUE!</v>
      </c>
      <c r="R195" s="163"/>
      <c r="AS195" s="127"/>
      <c r="AT195" s="127"/>
      <c r="AU195" s="127"/>
      <c r="AV195" s="127"/>
      <c r="AW195" s="127"/>
      <c r="AX195" s="127"/>
      <c r="AY195" s="127"/>
      <c r="AZ195" s="127"/>
      <c r="BA195" s="127"/>
      <c r="BB195" s="127"/>
      <c r="BC195" s="127"/>
      <c r="BD195" s="127"/>
      <c r="BE195" s="127"/>
      <c r="BF195" s="127"/>
      <c r="BG195" s="127"/>
      <c r="BH195" s="127"/>
      <c r="BI195" s="127"/>
    </row>
    <row r="196" spans="8:61" ht="15" hidden="1">
      <c r="H196" s="66" t="str">
        <f>IF(H195="x",IF(H194&gt;=29670,770,IF(H194&gt;=26870,700,IF(H194&gt;=23720,630,IF(H194&gt;=21440,570,IF(H194&gt;=18440,500,IF(H194&gt;=16640,450,IF(H194&gt;=14640,400,"x"))))))),H195)</f>
        <v>x</v>
      </c>
      <c r="I196" s="66" t="str">
        <f aca="true" t="shared" si="161" ref="I196:Q196">IF(I195="x",IF(I194&gt;=29670,770,IF(I194&gt;=26870,700,IF(I194&gt;=23720,630,IF(I194&gt;=21440,570,IF(I194&gt;=18440,500,IF(I194&gt;=16640,450,IF(I194&gt;=14640,400,"x"))))))),I195)</f>
        <v>x</v>
      </c>
      <c r="J196" s="66" t="str">
        <f t="shared" si="161"/>
        <v>x</v>
      </c>
      <c r="K196" s="66" t="str">
        <f t="shared" si="161"/>
        <v>x</v>
      </c>
      <c r="L196" s="66" t="str">
        <f t="shared" si="161"/>
        <v>x</v>
      </c>
      <c r="M196" s="66" t="str">
        <f t="shared" si="161"/>
        <v>x</v>
      </c>
      <c r="N196" s="66">
        <f t="shared" si="161"/>
        <v>400</v>
      </c>
      <c r="O196" s="66">
        <f t="shared" si="161"/>
        <v>400</v>
      </c>
      <c r="P196" s="66" t="e">
        <f t="shared" si="161"/>
        <v>#VALUE!</v>
      </c>
      <c r="Q196" s="66" t="e">
        <f t="shared" si="161"/>
        <v>#VALUE!</v>
      </c>
      <c r="R196" s="163"/>
      <c r="AS196" s="127"/>
      <c r="AT196" s="127"/>
      <c r="AU196" s="127"/>
      <c r="AV196" s="127"/>
      <c r="AW196" s="127"/>
      <c r="AX196" s="127"/>
      <c r="AY196" s="127"/>
      <c r="AZ196" s="127"/>
      <c r="BA196" s="127"/>
      <c r="BB196" s="127"/>
      <c r="BC196" s="127"/>
      <c r="BD196" s="127"/>
      <c r="BE196" s="127"/>
      <c r="BF196" s="127"/>
      <c r="BG196" s="127"/>
      <c r="BH196" s="127"/>
      <c r="BI196" s="127"/>
    </row>
    <row r="197" spans="8:61" ht="15" hidden="1">
      <c r="H197" s="123">
        <f>IF(H196="x",IF(H194&gt;=13200,360,IF(H194&gt;=12210,330,IF(H194&gt;=11010,300,IF(H194&gt;=9930,270,IF(H194&gt;=9430,250,240))))),H196)</f>
        <v>360</v>
      </c>
      <c r="I197" s="123">
        <f aca="true" t="shared" si="162" ref="I197:Q197">IF(I196="x",IF(I194&gt;=13200,360,IF(I194&gt;=12210,330,IF(I194&gt;=11010,300,IF(I194&gt;=9930,270,IF(I194&gt;=9430,250,240))))),I196)</f>
        <v>360</v>
      </c>
      <c r="J197" s="123">
        <f t="shared" si="162"/>
        <v>360</v>
      </c>
      <c r="K197" s="123">
        <f t="shared" si="162"/>
        <v>360</v>
      </c>
      <c r="L197" s="123">
        <f t="shared" si="162"/>
        <v>360</v>
      </c>
      <c r="M197" s="123">
        <f t="shared" si="162"/>
        <v>360</v>
      </c>
      <c r="N197" s="123">
        <f t="shared" si="162"/>
        <v>400</v>
      </c>
      <c r="O197" s="123">
        <f t="shared" si="162"/>
        <v>400</v>
      </c>
      <c r="P197" s="123" t="e">
        <f t="shared" si="162"/>
        <v>#VALUE!</v>
      </c>
      <c r="Q197" s="123" t="e">
        <f t="shared" si="162"/>
        <v>#VALUE!</v>
      </c>
      <c r="R197" s="164"/>
      <c r="AS197" s="127"/>
      <c r="AT197" s="127"/>
      <c r="AU197" s="127"/>
      <c r="AV197" s="127"/>
      <c r="AW197" s="127"/>
      <c r="AX197" s="127"/>
      <c r="AY197" s="127"/>
      <c r="AZ197" s="127"/>
      <c r="BA197" s="127"/>
      <c r="BB197" s="127"/>
      <c r="BC197" s="127"/>
      <c r="BD197" s="127"/>
      <c r="BE197" s="127"/>
      <c r="BF197" s="127"/>
      <c r="BG197" s="127"/>
      <c r="BH197" s="127"/>
      <c r="BI197" s="127"/>
    </row>
    <row r="198" spans="8:61" ht="15" hidden="1">
      <c r="H198" s="66">
        <f>H192+H197</f>
        <v>13560</v>
      </c>
      <c r="I198" s="66">
        <f aca="true" t="shared" si="163" ref="I198:Q198">I192+I197</f>
        <v>13920</v>
      </c>
      <c r="J198" s="66">
        <f t="shared" si="163"/>
        <v>13920</v>
      </c>
      <c r="K198" s="66">
        <f t="shared" si="163"/>
        <v>14280</v>
      </c>
      <c r="L198" s="66">
        <f t="shared" si="163"/>
        <v>14280</v>
      </c>
      <c r="M198" s="66">
        <f t="shared" si="163"/>
        <v>14280</v>
      </c>
      <c r="N198" s="66">
        <f t="shared" si="163"/>
        <v>15040</v>
      </c>
      <c r="O198" s="66">
        <f t="shared" si="163"/>
        <v>15440</v>
      </c>
      <c r="P198" s="66" t="e">
        <f t="shared" si="163"/>
        <v>#VALUE!</v>
      </c>
      <c r="Q198" s="66" t="e">
        <f t="shared" si="163"/>
        <v>#VALUE!</v>
      </c>
      <c r="R198" s="163"/>
      <c r="AS198" s="127"/>
      <c r="AT198" s="127"/>
      <c r="AU198" s="127"/>
      <c r="AV198" s="127"/>
      <c r="AW198" s="127"/>
      <c r="AX198" s="127"/>
      <c r="AY198" s="127"/>
      <c r="AZ198" s="127"/>
      <c r="BA198" s="127"/>
      <c r="BB198" s="127"/>
      <c r="BC198" s="127"/>
      <c r="BD198" s="127"/>
      <c r="BE198" s="127"/>
      <c r="BF198" s="127"/>
      <c r="BG198" s="127"/>
      <c r="BH198" s="127"/>
      <c r="BI198" s="127"/>
    </row>
    <row r="199" spans="5:61" ht="15" hidden="1">
      <c r="E199" s="264" t="s">
        <v>232</v>
      </c>
      <c r="F199" s="264"/>
      <c r="G199" s="264"/>
      <c r="H199" s="124" t="str">
        <f>IF(H198&lt;H170,CONCATENATE(H170,"/-"),IF(H198&gt;H169,CONCATENATE(H169,"/- + P. P. ",H198-H169,"/-."),CONCATENATE(H198,"/-")))</f>
        <v>13560/-</v>
      </c>
      <c r="I199" s="124" t="str">
        <f aca="true" t="shared" si="164" ref="I199:Q199">IF(I198&lt;I170,CONCATENATE(I170,"/-"),IF(I198&gt;I169,CONCATENATE(I169,"/- + P. P. ",I198-I169,"/-."),CONCATENATE(I198,"/-")))</f>
        <v>13920/-</v>
      </c>
      <c r="J199" s="124" t="str">
        <f t="shared" si="164"/>
        <v>13920/-</v>
      </c>
      <c r="K199" s="124" t="str">
        <f t="shared" si="164"/>
        <v>14280/-</v>
      </c>
      <c r="L199" s="124" t="str">
        <f t="shared" si="164"/>
        <v>14280/-</v>
      </c>
      <c r="M199" s="124" t="str">
        <f t="shared" si="164"/>
        <v>14280/-</v>
      </c>
      <c r="N199" s="124" t="str">
        <f t="shared" si="164"/>
        <v>15040/-</v>
      </c>
      <c r="O199" s="124" t="str">
        <f t="shared" si="164"/>
        <v>15440/-</v>
      </c>
      <c r="P199" s="124" t="e">
        <f t="shared" si="164"/>
        <v>#VALUE!</v>
      </c>
      <c r="Q199" s="124" t="e">
        <f t="shared" si="164"/>
        <v>#VALUE!</v>
      </c>
      <c r="R199" s="94"/>
      <c r="AS199" s="127"/>
      <c r="AT199" s="127"/>
      <c r="AU199" s="127"/>
      <c r="AV199" s="127"/>
      <c r="AW199" s="127"/>
      <c r="AX199" s="127"/>
      <c r="AY199" s="127"/>
      <c r="AZ199" s="127"/>
      <c r="BA199" s="127"/>
      <c r="BB199" s="127"/>
      <c r="BC199" s="127"/>
      <c r="BD199" s="127"/>
      <c r="BE199" s="127"/>
      <c r="BF199" s="127"/>
      <c r="BG199" s="127"/>
      <c r="BH199" s="127"/>
      <c r="BI199" s="127"/>
    </row>
    <row r="200" spans="5:61" ht="15" hidden="1">
      <c r="E200" s="158"/>
      <c r="F200" s="158"/>
      <c r="G200" s="158"/>
      <c r="H200" s="158">
        <f>IF(H169&lt;H198,H169-1,H198)</f>
        <v>13560</v>
      </c>
      <c r="I200" s="158">
        <f aca="true" t="shared" si="165" ref="I200:Q200">IF(I169&lt;I198,I169-1,I198)</f>
        <v>13920</v>
      </c>
      <c r="J200" s="158">
        <f t="shared" si="165"/>
        <v>13920</v>
      </c>
      <c r="K200" s="158">
        <f t="shared" si="165"/>
        <v>14280</v>
      </c>
      <c r="L200" s="158">
        <f t="shared" si="165"/>
        <v>14280</v>
      </c>
      <c r="M200" s="158">
        <f t="shared" si="165"/>
        <v>14280</v>
      </c>
      <c r="N200" s="158">
        <f t="shared" si="165"/>
        <v>15040</v>
      </c>
      <c r="O200" s="158">
        <f t="shared" si="165"/>
        <v>15440</v>
      </c>
      <c r="P200" s="158" t="e">
        <f t="shared" si="165"/>
        <v>#VALUE!</v>
      </c>
      <c r="Q200" s="158" t="e">
        <f t="shared" si="165"/>
        <v>#VALUE!</v>
      </c>
      <c r="R200" s="94"/>
      <c r="AS200" s="127"/>
      <c r="AT200" s="127"/>
      <c r="AU200" s="127"/>
      <c r="AV200" s="127"/>
      <c r="AW200" s="127"/>
      <c r="AX200" s="127"/>
      <c r="AY200" s="127"/>
      <c r="AZ200" s="127"/>
      <c r="BA200" s="127"/>
      <c r="BB200" s="127"/>
      <c r="BC200" s="127"/>
      <c r="BD200" s="127"/>
      <c r="BE200" s="127"/>
      <c r="BF200" s="127"/>
      <c r="BG200" s="127"/>
      <c r="BH200" s="127"/>
      <c r="BI200" s="127"/>
    </row>
    <row r="201" spans="5:61" ht="15" hidden="1">
      <c r="E201" s="158"/>
      <c r="F201" s="158"/>
      <c r="G201" s="158"/>
      <c r="H201" s="158" t="str">
        <f>IF(H200&gt;=59250,1400,IF(H200&gt;=54050,1300,IF(H200&gt;=49250,1200,IF(H200&gt;=43750,1100,IF(H200&gt;=39750,1000,IF(H200&gt;=36110,910,IF(H200&gt;=32750,840,"X")))))))</f>
        <v>X</v>
      </c>
      <c r="I201" s="158" t="str">
        <f aca="true" t="shared" si="166" ref="I201:Q201">IF(I200&gt;=59250,1400,IF(I200&gt;=54050,1300,IF(I200&gt;=49250,1200,IF(I200&gt;=43750,1100,IF(I200&gt;=39750,1000,IF(I200&gt;=36110,910,IF(I200&gt;=32750,840,"X")))))))</f>
        <v>X</v>
      </c>
      <c r="J201" s="158" t="str">
        <f t="shared" si="166"/>
        <v>X</v>
      </c>
      <c r="K201" s="158" t="str">
        <f t="shared" si="166"/>
        <v>X</v>
      </c>
      <c r="L201" s="158" t="str">
        <f t="shared" si="166"/>
        <v>X</v>
      </c>
      <c r="M201" s="158" t="str">
        <f t="shared" si="166"/>
        <v>X</v>
      </c>
      <c r="N201" s="158" t="str">
        <f t="shared" si="166"/>
        <v>X</v>
      </c>
      <c r="O201" s="158" t="str">
        <f t="shared" si="166"/>
        <v>X</v>
      </c>
      <c r="P201" s="158" t="e">
        <f t="shared" si="166"/>
        <v>#VALUE!</v>
      </c>
      <c r="Q201" s="158" t="e">
        <f t="shared" si="166"/>
        <v>#VALUE!</v>
      </c>
      <c r="R201" s="94"/>
      <c r="AS201" s="127"/>
      <c r="AT201" s="127"/>
      <c r="AU201" s="127"/>
      <c r="AV201" s="127"/>
      <c r="AW201" s="127"/>
      <c r="AX201" s="127"/>
      <c r="AY201" s="127"/>
      <c r="AZ201" s="127"/>
      <c r="BA201" s="127"/>
      <c r="BB201" s="127"/>
      <c r="BC201" s="127"/>
      <c r="BD201" s="127"/>
      <c r="BE201" s="127"/>
      <c r="BF201" s="127"/>
      <c r="BG201" s="127"/>
      <c r="BH201" s="127"/>
      <c r="BI201" s="127"/>
    </row>
    <row r="202" spans="5:61" ht="15" hidden="1">
      <c r="E202" s="158"/>
      <c r="F202" s="158"/>
      <c r="G202" s="158"/>
      <c r="H202" s="158" t="str">
        <f>IF(H201="x",IF(H200&gt;=29670,770,IF(H200&gt;=26870,700,IF(H200&gt;=23720,630,IF(H200&gt;=21440,570,IF(H200&gt;=18440,500,IF(H200&gt;=16640,450,IF(H200&gt;=14640,400,"x"))))))),H201)</f>
        <v>x</v>
      </c>
      <c r="I202" s="158" t="str">
        <f aca="true" t="shared" si="167" ref="I202:Q202">IF(I201="x",IF(I200&gt;=29670,770,IF(I200&gt;=26870,700,IF(I200&gt;=23720,630,IF(I200&gt;=21440,570,IF(I200&gt;=18440,500,IF(I200&gt;=16640,450,IF(I200&gt;=14640,400,"x"))))))),I201)</f>
        <v>x</v>
      </c>
      <c r="J202" s="158" t="str">
        <f t="shared" si="167"/>
        <v>x</v>
      </c>
      <c r="K202" s="158" t="str">
        <f t="shared" si="167"/>
        <v>x</v>
      </c>
      <c r="L202" s="158" t="str">
        <f t="shared" si="167"/>
        <v>x</v>
      </c>
      <c r="M202" s="158" t="str">
        <f t="shared" si="167"/>
        <v>x</v>
      </c>
      <c r="N202" s="158">
        <f t="shared" si="167"/>
        <v>400</v>
      </c>
      <c r="O202" s="158">
        <f t="shared" si="167"/>
        <v>400</v>
      </c>
      <c r="P202" s="158" t="e">
        <f t="shared" si="167"/>
        <v>#VALUE!</v>
      </c>
      <c r="Q202" s="158" t="e">
        <f t="shared" si="167"/>
        <v>#VALUE!</v>
      </c>
      <c r="R202" s="94"/>
      <c r="AS202" s="127"/>
      <c r="AT202" s="127"/>
      <c r="AU202" s="127"/>
      <c r="AV202" s="127"/>
      <c r="AW202" s="127"/>
      <c r="AX202" s="127"/>
      <c r="AY202" s="127"/>
      <c r="AZ202" s="127"/>
      <c r="BA202" s="127"/>
      <c r="BB202" s="127"/>
      <c r="BC202" s="127"/>
      <c r="BD202" s="127"/>
      <c r="BE202" s="127"/>
      <c r="BF202" s="127"/>
      <c r="BG202" s="127"/>
      <c r="BH202" s="127"/>
      <c r="BI202" s="127"/>
    </row>
    <row r="203" spans="5:61" ht="15" hidden="1">
      <c r="E203" s="158"/>
      <c r="F203" s="158"/>
      <c r="G203" s="158"/>
      <c r="H203" s="158">
        <f>IF(H202="x",IF(H200&gt;=13200,360,IF(H200&gt;=12210,330,IF(H200&gt;=11010,300,IF(H200&gt;=9930,270,IF(H200&gt;=9430,250,240))))),H202)</f>
        <v>360</v>
      </c>
      <c r="I203" s="158">
        <f aca="true" t="shared" si="168" ref="I203:Q203">IF(I202="x",IF(I200&gt;=13200,360,IF(I200&gt;=12210,330,IF(I200&gt;=11010,300,IF(I200&gt;=9930,270,IF(I200&gt;=9430,250,240))))),I202)</f>
        <v>360</v>
      </c>
      <c r="J203" s="158">
        <f t="shared" si="168"/>
        <v>360</v>
      </c>
      <c r="K203" s="158">
        <f t="shared" si="168"/>
        <v>360</v>
      </c>
      <c r="L203" s="158">
        <f t="shared" si="168"/>
        <v>360</v>
      </c>
      <c r="M203" s="158">
        <f t="shared" si="168"/>
        <v>360</v>
      </c>
      <c r="N203" s="158">
        <f t="shared" si="168"/>
        <v>400</v>
      </c>
      <c r="O203" s="158">
        <f t="shared" si="168"/>
        <v>400</v>
      </c>
      <c r="P203" s="158" t="e">
        <f t="shared" si="168"/>
        <v>#VALUE!</v>
      </c>
      <c r="Q203" s="158" t="e">
        <f t="shared" si="168"/>
        <v>#VALUE!</v>
      </c>
      <c r="R203" s="94"/>
      <c r="AS203" s="127"/>
      <c r="AT203" s="127"/>
      <c r="AU203" s="127"/>
      <c r="AV203" s="127"/>
      <c r="AW203" s="127"/>
      <c r="AX203" s="127"/>
      <c r="AY203" s="127"/>
      <c r="AZ203" s="127"/>
      <c r="BA203" s="127"/>
      <c r="BB203" s="127"/>
      <c r="BC203" s="127"/>
      <c r="BD203" s="127"/>
      <c r="BE203" s="127"/>
      <c r="BF203" s="127"/>
      <c r="BG203" s="127"/>
      <c r="BH203" s="127"/>
      <c r="BI203" s="127"/>
    </row>
    <row r="204" spans="5:61" ht="15" hidden="1">
      <c r="E204" s="158"/>
      <c r="F204" s="158"/>
      <c r="G204" s="158"/>
      <c r="H204" s="158">
        <f>H198+H203</f>
        <v>13920</v>
      </c>
      <c r="I204" s="158">
        <f aca="true" t="shared" si="169" ref="I204:Q204">I198+I203</f>
        <v>14280</v>
      </c>
      <c r="J204" s="158">
        <f t="shared" si="169"/>
        <v>14280</v>
      </c>
      <c r="K204" s="158">
        <f t="shared" si="169"/>
        <v>14640</v>
      </c>
      <c r="L204" s="158">
        <f t="shared" si="169"/>
        <v>14640</v>
      </c>
      <c r="M204" s="158">
        <f t="shared" si="169"/>
        <v>14640</v>
      </c>
      <c r="N204" s="158">
        <f t="shared" si="169"/>
        <v>15440</v>
      </c>
      <c r="O204" s="158">
        <f t="shared" si="169"/>
        <v>15840</v>
      </c>
      <c r="P204" s="158" t="e">
        <f t="shared" si="169"/>
        <v>#VALUE!</v>
      </c>
      <c r="Q204" s="158" t="e">
        <f t="shared" si="169"/>
        <v>#VALUE!</v>
      </c>
      <c r="R204" s="94"/>
      <c r="AS204" s="127"/>
      <c r="AT204" s="127"/>
      <c r="AU204" s="127"/>
      <c r="AV204" s="127"/>
      <c r="AW204" s="127"/>
      <c r="AX204" s="127"/>
      <c r="AY204" s="127"/>
      <c r="AZ204" s="127"/>
      <c r="BA204" s="127"/>
      <c r="BB204" s="127"/>
      <c r="BC204" s="127"/>
      <c r="BD204" s="127"/>
      <c r="BE204" s="127"/>
      <c r="BF204" s="127"/>
      <c r="BG204" s="127"/>
      <c r="BH204" s="127"/>
      <c r="BI204" s="127"/>
    </row>
    <row r="205" spans="5:61" ht="15" hidden="1">
      <c r="E205" s="216"/>
      <c r="F205" s="216"/>
      <c r="G205" s="216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94"/>
      <c r="AS205" s="127"/>
      <c r="AT205" s="127"/>
      <c r="AU205" s="127"/>
      <c r="AV205" s="127"/>
      <c r="AW205" s="127"/>
      <c r="AX205" s="127"/>
      <c r="AY205" s="127"/>
      <c r="AZ205" s="127"/>
      <c r="BA205" s="127"/>
      <c r="BB205" s="127"/>
      <c r="BC205" s="127"/>
      <c r="BD205" s="127"/>
      <c r="BE205" s="127"/>
      <c r="BF205" s="127"/>
      <c r="BG205" s="127"/>
      <c r="BH205" s="127"/>
      <c r="BI205" s="127"/>
    </row>
    <row r="206" spans="45:61" ht="15" hidden="1">
      <c r="AS206" s="127"/>
      <c r="AT206" s="127"/>
      <c r="AU206" s="127"/>
      <c r="AV206" s="127"/>
      <c r="AW206" s="127"/>
      <c r="AX206" s="127"/>
      <c r="AY206" s="127"/>
      <c r="AZ206" s="127"/>
      <c r="BA206" s="127"/>
      <c r="BB206" s="127"/>
      <c r="BC206" s="127"/>
      <c r="BD206" s="127"/>
      <c r="BE206" s="127"/>
      <c r="BF206" s="127"/>
      <c r="BG206" s="127"/>
      <c r="BH206" s="127"/>
      <c r="BI206" s="127"/>
    </row>
    <row r="207" spans="5:61" ht="15" hidden="1">
      <c r="E207" s="261" t="s">
        <v>236</v>
      </c>
      <c r="F207" s="261"/>
      <c r="G207" s="261"/>
      <c r="H207" s="156">
        <f>J38</f>
        <v>40781</v>
      </c>
      <c r="I207" s="156">
        <f>IF(I162="Lower Post",J38," ")</f>
        <v>40781</v>
      </c>
      <c r="J207" s="156">
        <f>IF(J162="Lower Post",J38," ")</f>
        <v>40781</v>
      </c>
      <c r="K207" s="156">
        <f>IF(K162="Lower Post",J38," ")</f>
        <v>40781</v>
      </c>
      <c r="L207" s="156">
        <f>IF(L162="Lower Post",J38," ")</f>
        <v>40781</v>
      </c>
      <c r="M207" s="156">
        <f>IF(M162="Lower Post",J38," ")</f>
        <v>40781</v>
      </c>
      <c r="N207" s="156" t="str">
        <f>IF(N162="Lower Post",J38," ")</f>
        <v> </v>
      </c>
      <c r="O207" s="156" t="str">
        <f>IF(O162="Lower Post",J38," ")</f>
        <v> </v>
      </c>
      <c r="P207" s="156" t="str">
        <f>IF(P162="Lower Post",J38," ")</f>
        <v> </v>
      </c>
      <c r="Q207" s="156" t="str">
        <f>IF(Q162="Lower Post",J38," ")</f>
        <v> </v>
      </c>
      <c r="AS207" s="127"/>
      <c r="AT207" s="127"/>
      <c r="AU207" s="127"/>
      <c r="AV207" s="127"/>
      <c r="AW207" s="127"/>
      <c r="AX207" s="127"/>
      <c r="AY207" s="127"/>
      <c r="AZ207" s="127"/>
      <c r="BA207" s="127"/>
      <c r="BB207" s="127"/>
      <c r="BC207" s="127"/>
      <c r="BD207" s="127"/>
      <c r="BE207" s="127"/>
      <c r="BF207" s="127"/>
      <c r="BG207" s="127"/>
      <c r="BH207" s="127"/>
      <c r="BI207" s="127"/>
    </row>
    <row r="208" spans="45:61" ht="15" hidden="1">
      <c r="AS208" s="127"/>
      <c r="AT208" s="127"/>
      <c r="AU208" s="127"/>
      <c r="AV208" s="127"/>
      <c r="AW208" s="127"/>
      <c r="AX208" s="127"/>
      <c r="AY208" s="127"/>
      <c r="AZ208" s="127"/>
      <c r="BA208" s="127"/>
      <c r="BB208" s="127"/>
      <c r="BC208" s="127"/>
      <c r="BD208" s="127"/>
      <c r="BE208" s="127"/>
      <c r="BF208" s="127"/>
      <c r="BG208" s="127"/>
      <c r="BH208" s="127"/>
      <c r="BI208" s="127"/>
    </row>
    <row r="209" spans="5:61" ht="15" hidden="1">
      <c r="E209" s="262" t="s">
        <v>237</v>
      </c>
      <c r="F209" s="262"/>
      <c r="G209" s="262"/>
      <c r="H209" s="202">
        <f>IF(H207=" "," ",IF(DATE(YEAR(H161)+3,MONTH(H161),DAY(1))&lt;=H207,H198,IF(DATE(YEAR(H161)+2,MONTH(H161),DAY(1))&lt;=H207,H192,IF(DATE(YEAR(H161)+1,MONTH(H161),DAY(1))&lt;=H207,H186,H180))))</f>
        <v>13200</v>
      </c>
      <c r="I209" s="202">
        <f aca="true" t="shared" si="170" ref="I209:Q209">IF(I207=" "," ",IF(DATE(YEAR(I161)+3,MONTH(I161),DAY(1))&lt;=I207,I198,IF(DATE(YEAR(I161)+2,MONTH(I161),DAY(1))&lt;=I207,I192,IF(DATE(YEAR(I161)+1,MONTH(I161),DAY(1))&lt;=I207,I186,I180))))</f>
        <v>13200</v>
      </c>
      <c r="J209" s="202">
        <f t="shared" si="170"/>
        <v>13200</v>
      </c>
      <c r="K209" s="202">
        <f t="shared" si="170"/>
        <v>13200</v>
      </c>
      <c r="L209" s="202">
        <f t="shared" si="170"/>
        <v>13200</v>
      </c>
      <c r="M209" s="202">
        <f t="shared" si="170"/>
        <v>13200</v>
      </c>
      <c r="N209" s="202" t="str">
        <f t="shared" si="170"/>
        <v> </v>
      </c>
      <c r="O209" s="202" t="str">
        <f t="shared" si="170"/>
        <v> </v>
      </c>
      <c r="P209" s="202" t="str">
        <f t="shared" si="170"/>
        <v> </v>
      </c>
      <c r="Q209" s="202" t="str">
        <f t="shared" si="170"/>
        <v> </v>
      </c>
      <c r="AS209" s="127"/>
      <c r="AT209" s="127"/>
      <c r="AU209" s="127"/>
      <c r="AV209" s="127"/>
      <c r="AW209" s="127"/>
      <c r="AX209" s="127"/>
      <c r="AY209" s="127"/>
      <c r="AZ209" s="127"/>
      <c r="BA209" s="127"/>
      <c r="BB209" s="127"/>
      <c r="BC209" s="127"/>
      <c r="BD209" s="127"/>
      <c r="BE209" s="127"/>
      <c r="BF209" s="127"/>
      <c r="BG209" s="127"/>
      <c r="BH209" s="127"/>
      <c r="BI209" s="127"/>
    </row>
    <row r="210" spans="5:61" ht="15" hidden="1">
      <c r="E210" s="260" t="s">
        <v>238</v>
      </c>
      <c r="F210" s="260"/>
      <c r="G210" s="260"/>
      <c r="H210">
        <f>IF(H162="Lower Post",VALUE(LEFT(M7,FIND(" ",M7,1)-1)),VALUE(LEFT(M9,FIND(" ",M9,1)-1)))</f>
        <v>10470</v>
      </c>
      <c r="I210">
        <f>IF(I162="Lower Post",VALUE(LEFT(M7,FIND(" ",M7,1)-1)),VALUE(LEFT(M9,FIND(" ",M9,1)-1)))</f>
        <v>10470</v>
      </c>
      <c r="J210">
        <f>IF(J162="Lower Post",VALUE(LEFT(M7,FIND(" ",M7,1)-1)),VALUE(LEFT(M9,FIND(" ",M9,1)-1)))</f>
        <v>10470</v>
      </c>
      <c r="K210">
        <f>IF(K162="Lower Post",VALUE(LEFT(M7,FIND(" ",M7,1)-1)),VALUE(LEFT(M9,FIND(" ",M9,1)-1)))</f>
        <v>10470</v>
      </c>
      <c r="L210">
        <f>IF(L162="Lower Post",VALUE(LEFT(M7,FIND(" ",M7,1)-1)),VALUE(LEFT(M9,FIND(" ",M9,1)-1)))</f>
        <v>10470</v>
      </c>
      <c r="M210">
        <f>IF(M162="Lower Post",VALUE(LEFT(M7,FIND(" ",M7,1)-1)),VALUE(LEFT(M9,FIND(" ",M9,1)-1)))</f>
        <v>10470</v>
      </c>
      <c r="N210">
        <f>IF(N162="Lower Post",VALUE(LEFT(M7,FIND(" ",M7,1)-1)),VALUE(LEFT(M9,FIND(" ",M9,1)-1)))</f>
        <v>13560</v>
      </c>
      <c r="O210">
        <f>IF(O162="Lower Post",VALUE(LEFT(M7,FIND(" ",M7,1)-1)),VALUE(LEFT(M9,FIND(" ",M9,1)-1)))</f>
        <v>13560</v>
      </c>
      <c r="P210">
        <f>IF(P162="Lower Post",VALUE(LEFT(M7,FIND(" ",M7,1)-1)),VALUE(LEFT(M9,FIND(" ",M9,1)-1)))</f>
        <v>13560</v>
      </c>
      <c r="Q210">
        <f>IF(Q162="Lower Post",VALUE(LEFT(M7,FIND(" ",M7,1)-1)),VALUE(LEFT(M9,FIND(" ",M9,1)-1)))</f>
        <v>13560</v>
      </c>
      <c r="AS210" s="127"/>
      <c r="AT210" s="127"/>
      <c r="AU210" s="127"/>
      <c r="AV210" s="127"/>
      <c r="AW210" s="127"/>
      <c r="AX210" s="127"/>
      <c r="AY210" s="127"/>
      <c r="AZ210" s="127"/>
      <c r="BA210" s="127"/>
      <c r="BB210" s="127"/>
      <c r="BC210" s="127"/>
      <c r="BD210" s="127"/>
      <c r="BE210" s="127"/>
      <c r="BF210" s="127"/>
      <c r="BG210" s="127"/>
      <c r="BH210" s="127"/>
      <c r="BI210" s="127"/>
    </row>
    <row r="211" spans="5:61" ht="15" hidden="1">
      <c r="E211" s="263" t="s">
        <v>215</v>
      </c>
      <c r="F211" s="263"/>
      <c r="G211" s="263"/>
      <c r="H211" s="201">
        <f>IF(H162="Lower Post",VALUE(RIGHT(RIGHT(M7,8),LEN(RIGHT(M7,8))-FIND("-",RIGHT(M7,8),1))),VALUE(RIGHT(RIGHT(M9,8),LEN(RIGHT(M9,8))-FIND("-",RIGHT(M9,8),1))))</f>
        <v>26870</v>
      </c>
      <c r="I211" s="201">
        <f>IF(I162="Lower Post",VALUE(RIGHT(RIGHT(M7,8),LEN(RIGHT(M7,8))-FIND("-",RIGHT(M7,8),1))),VALUE(RIGHT(RIGHT(M9,8),LEN(RIGHT(M9,8))-FIND("-",RIGHT(M9,8),1))))</f>
        <v>26870</v>
      </c>
      <c r="J211" s="201">
        <f>IF(J162="Lower Post",VALUE(RIGHT(RIGHT(M7,8),LEN(RIGHT(M7,8))-FIND("-",RIGHT(M7,8),1))),VALUE(RIGHT(RIGHT(M9,8),LEN(RIGHT(M9,8))-FIND("-",RIGHT(M9,8),1))))</f>
        <v>26870</v>
      </c>
      <c r="K211" s="201">
        <f>IF(K162="Lower Post",VALUE(RIGHT(RIGHT(M7,8),LEN(RIGHT(M7,8))-FIND("-",RIGHT(M7,8),1))),VALUE(RIGHT(RIGHT(M9,8),LEN(RIGHT(M9,8))-FIND("-",RIGHT(M9,8),1))))</f>
        <v>26870</v>
      </c>
      <c r="L211" s="201">
        <f>IF(L162="Lower Post",VALUE(RIGHT(RIGHT(M7,8),LEN(RIGHT(M7,8))-FIND("-",RIGHT(M7,8),1))),VALUE(RIGHT(RIGHT(M9,8),LEN(RIGHT(M9,8))-FIND("-",RIGHT(M9,8),1))))</f>
        <v>26870</v>
      </c>
      <c r="M211" s="201">
        <f>IF(M162="Lower Post",VALUE(RIGHT(RIGHT(M7,8),LEN(RIGHT(M7,8))-FIND("-",RIGHT(M7,8),1))),VALUE(RIGHT(RIGHT(M9,8),LEN(RIGHT(M9,8))-FIND("-",RIGHT(M9,8),1))))</f>
        <v>26870</v>
      </c>
      <c r="N211" s="201">
        <f>IF(N162="Lower Post",VALUE(RIGHT(RIGHT(M7,8),LEN(RIGHT(M7,8))-FIND("-",RIGHT(M7,8),1))),VALUE(RIGHT(RIGHT(M9,8),LEN(RIGHT(M9,8))-FIND("-",RIGHT(M9,8),1))))</f>
        <v>29670</v>
      </c>
      <c r="O211" s="201">
        <f>IF(O162="Lower Post",VALUE(RIGHT(RIGHT(M7,8),LEN(RIGHT(M7,8))-FIND("-",RIGHT(M7,8),1))),VALUE(RIGHT(RIGHT(M9,8),LEN(RIGHT(M9,8))-FIND("-",RIGHT(M9,8),1))))</f>
        <v>29670</v>
      </c>
      <c r="P211" s="201">
        <f>IF(P162="Lower Post",VALUE(RIGHT(RIGHT(M7,8),LEN(RIGHT(M7,8))-FIND("-",RIGHT(M7,8),1))),VALUE(RIGHT(RIGHT(M9,8),LEN(RIGHT(M9,8))-FIND("-",RIGHT(M9,8),1))))</f>
        <v>29670</v>
      </c>
      <c r="Q211" s="201">
        <f>IF(Q162="Lower Post",VALUE(RIGHT(RIGHT(M7,8),LEN(RIGHT(M7,8))-FIND("-",RIGHT(M7,8),1))),VALUE(RIGHT(RIGHT(M9,8),LEN(RIGHT(M9,8))-FIND("-",RIGHT(M9,8),1))))</f>
        <v>29670</v>
      </c>
      <c r="AS211" s="127"/>
      <c r="AT211" s="127"/>
      <c r="AU211" s="127"/>
      <c r="AV211" s="127"/>
      <c r="AW211" s="127"/>
      <c r="AX211" s="127"/>
      <c r="AY211" s="127"/>
      <c r="AZ211" s="127"/>
      <c r="BA211" s="127"/>
      <c r="BB211" s="127"/>
      <c r="BC211" s="127"/>
      <c r="BD211" s="127"/>
      <c r="BE211" s="127"/>
      <c r="BF211" s="127"/>
      <c r="BG211" s="127"/>
      <c r="BH211" s="127"/>
      <c r="BI211" s="127"/>
    </row>
    <row r="212" spans="5:61" ht="15" hidden="1">
      <c r="E212" s="260" t="s">
        <v>241</v>
      </c>
      <c r="F212" s="260"/>
      <c r="G212" s="260"/>
      <c r="H212">
        <f>VALUE(LEFT(M9,FIND(" ",M9,1)-1))</f>
        <v>13560</v>
      </c>
      <c r="I212">
        <f>VALUE(LEFT(M9,FIND(" ",M9,1)-1))</f>
        <v>13560</v>
      </c>
      <c r="J212">
        <f>VALUE(LEFT(M9,FIND(" ",M9,1)-1))</f>
        <v>13560</v>
      </c>
      <c r="K212">
        <f>VALUE(LEFT(M9,FIND(" ",M9,1)-1))</f>
        <v>13560</v>
      </c>
      <c r="L212">
        <f>VALUE(LEFT(M9,FIND(" ",M9,1)-1))</f>
        <v>13560</v>
      </c>
      <c r="M212">
        <f>VALUE(LEFT(M9,FIND(" ",M9,1)-1))</f>
        <v>13560</v>
      </c>
      <c r="N212">
        <f>VALUE(LEFT(M9,FIND(" ",M9,1)-1))</f>
        <v>13560</v>
      </c>
      <c r="O212">
        <f>VALUE(LEFT(M9,FIND(" ",M9,1)-1))</f>
        <v>13560</v>
      </c>
      <c r="P212">
        <f>VALUE(LEFT(M9,FIND(" ",M9,1)-1))</f>
        <v>13560</v>
      </c>
      <c r="Q212">
        <f>VALUE(LEFT(M9,FIND(" ",M9,1)-1))</f>
        <v>13560</v>
      </c>
      <c r="AS212" s="127"/>
      <c r="AT212" s="127"/>
      <c r="AU212" s="127"/>
      <c r="AV212" s="127"/>
      <c r="AW212" s="127"/>
      <c r="AX212" s="127"/>
      <c r="AY212" s="127"/>
      <c r="AZ212" s="127"/>
      <c r="BA212" s="127"/>
      <c r="BB212" s="127"/>
      <c r="BC212" s="127"/>
      <c r="BD212" s="127"/>
      <c r="BE212" s="127"/>
      <c r="BF212" s="127"/>
      <c r="BG212" s="127"/>
      <c r="BH212" s="127"/>
      <c r="BI212" s="127"/>
    </row>
    <row r="213" spans="8:61" ht="15" hidden="1">
      <c r="H213">
        <f>IF(H211&lt;=H209,H211-1,H209)</f>
        <v>13200</v>
      </c>
      <c r="I213">
        <f aca="true" t="shared" si="171" ref="I213:Q213">IF(I211&lt;=I209,I211-1,I209)</f>
        <v>13200</v>
      </c>
      <c r="J213">
        <f t="shared" si="171"/>
        <v>13200</v>
      </c>
      <c r="K213">
        <f t="shared" si="171"/>
        <v>13200</v>
      </c>
      <c r="L213">
        <f t="shared" si="171"/>
        <v>13200</v>
      </c>
      <c r="M213">
        <f t="shared" si="171"/>
        <v>13200</v>
      </c>
      <c r="N213">
        <f t="shared" si="171"/>
        <v>29669</v>
      </c>
      <c r="O213">
        <f t="shared" si="171"/>
        <v>29669</v>
      </c>
      <c r="P213">
        <f t="shared" si="171"/>
        <v>29669</v>
      </c>
      <c r="Q213">
        <f t="shared" si="171"/>
        <v>29669</v>
      </c>
      <c r="AS213" s="127"/>
      <c r="AT213" s="127"/>
      <c r="AU213" s="127"/>
      <c r="AV213" s="127"/>
      <c r="AW213" s="127"/>
      <c r="AX213" s="127"/>
      <c r="AY213" s="127"/>
      <c r="AZ213" s="127"/>
      <c r="BA213" s="127"/>
      <c r="BB213" s="127"/>
      <c r="BC213" s="127"/>
      <c r="BD213" s="127"/>
      <c r="BE213" s="127"/>
      <c r="BF213" s="127"/>
      <c r="BG213" s="127"/>
      <c r="BH213" s="127"/>
      <c r="BI213" s="127"/>
    </row>
    <row r="214" spans="8:61" ht="15" hidden="1">
      <c r="H214" s="66" t="str">
        <f>IF(H213&gt;=59250,1400,IF(H213&gt;=54050,1300,IF(H213&gt;=49250,1200,IF(H213&gt;=43750,1100,IF(H213&gt;=39750,1000,IF(H213&gt;=36110,910,IF(H213&gt;=32750,840,"X")))))))</f>
        <v>X</v>
      </c>
      <c r="I214" s="66" t="str">
        <f aca="true" t="shared" si="172" ref="I214:Q214">IF(I213&gt;=59250,1400,IF(I213&gt;=54050,1300,IF(I213&gt;=49250,1200,IF(I213&gt;=43750,1100,IF(I213&gt;=39750,1000,IF(I213&gt;=36110,910,IF(I213&gt;=32750,840,"X")))))))</f>
        <v>X</v>
      </c>
      <c r="J214" s="66" t="str">
        <f t="shared" si="172"/>
        <v>X</v>
      </c>
      <c r="K214" s="66" t="str">
        <f t="shared" si="172"/>
        <v>X</v>
      </c>
      <c r="L214" s="66" t="str">
        <f t="shared" si="172"/>
        <v>X</v>
      </c>
      <c r="M214" s="66" t="str">
        <f t="shared" si="172"/>
        <v>X</v>
      </c>
      <c r="N214" s="66" t="str">
        <f t="shared" si="172"/>
        <v>X</v>
      </c>
      <c r="O214" s="66" t="str">
        <f t="shared" si="172"/>
        <v>X</v>
      </c>
      <c r="P214" s="66" t="str">
        <f t="shared" si="172"/>
        <v>X</v>
      </c>
      <c r="Q214" s="66" t="str">
        <f t="shared" si="172"/>
        <v>X</v>
      </c>
      <c r="AS214" s="127"/>
      <c r="AT214" s="127"/>
      <c r="AU214" s="127"/>
      <c r="AV214" s="127"/>
      <c r="AW214" s="127"/>
      <c r="AX214" s="127"/>
      <c r="AY214" s="127"/>
      <c r="AZ214" s="127"/>
      <c r="BA214" s="127"/>
      <c r="BB214" s="127"/>
      <c r="BC214" s="127"/>
      <c r="BD214" s="127"/>
      <c r="BE214" s="127"/>
      <c r="BF214" s="127"/>
      <c r="BG214" s="127"/>
      <c r="BH214" s="127"/>
      <c r="BI214" s="127"/>
    </row>
    <row r="215" spans="8:61" ht="15" hidden="1">
      <c r="H215" s="66" t="str">
        <f>IF(H214="x",IF(H213&gt;=29670,770,IF(H213&gt;=26870,700,IF(H213&gt;=23720,630,IF(H213&gt;=21440,570,IF(H213&gt;=18440,500,IF(H213&gt;=16640,450,IF(H213&gt;=14640,400,"x"))))))),H214)</f>
        <v>x</v>
      </c>
      <c r="I215" s="66" t="str">
        <f aca="true" t="shared" si="173" ref="I215:Q215">IF(I214="x",IF(I213&gt;=29670,770,IF(I213&gt;=26870,700,IF(I213&gt;=23720,630,IF(I213&gt;=21440,570,IF(I213&gt;=18440,500,IF(I213&gt;=16640,450,IF(I213&gt;=14640,400,"x"))))))),I214)</f>
        <v>x</v>
      </c>
      <c r="J215" s="66" t="str">
        <f t="shared" si="173"/>
        <v>x</v>
      </c>
      <c r="K215" s="66" t="str">
        <f t="shared" si="173"/>
        <v>x</v>
      </c>
      <c r="L215" s="66" t="str">
        <f t="shared" si="173"/>
        <v>x</v>
      </c>
      <c r="M215" s="66" t="str">
        <f t="shared" si="173"/>
        <v>x</v>
      </c>
      <c r="N215" s="66">
        <f t="shared" si="173"/>
        <v>700</v>
      </c>
      <c r="O215" s="66">
        <f t="shared" si="173"/>
        <v>700</v>
      </c>
      <c r="P215" s="66">
        <f t="shared" si="173"/>
        <v>700</v>
      </c>
      <c r="Q215" s="66">
        <f t="shared" si="173"/>
        <v>700</v>
      </c>
      <c r="AS215" s="127"/>
      <c r="AT215" s="127"/>
      <c r="AU215" s="127"/>
      <c r="AV215" s="127"/>
      <c r="AW215" s="127"/>
      <c r="AX215" s="127"/>
      <c r="AY215" s="127"/>
      <c r="AZ215" s="127"/>
      <c r="BA215" s="127"/>
      <c r="BB215" s="127"/>
      <c r="BC215" s="127"/>
      <c r="BD215" s="127"/>
      <c r="BE215" s="127"/>
      <c r="BF215" s="127"/>
      <c r="BG215" s="127"/>
      <c r="BH215" s="127"/>
      <c r="BI215" s="127"/>
    </row>
    <row r="216" spans="8:61" ht="15" hidden="1">
      <c r="H216" s="123">
        <f>IF(H215="x",IF(H213&gt;=13200,360,IF(H213&gt;=12210,330,IF(H213&gt;=11010,300,IF(H213&gt;=9930,270,IF(H213&gt;=9430,250,240))))),H215)</f>
        <v>360</v>
      </c>
      <c r="I216" s="123">
        <f aca="true" t="shared" si="174" ref="I216:Q216">IF(I215="x",IF(I213&gt;=13200,360,IF(I213&gt;=12210,330,IF(I213&gt;=11010,300,IF(I213&gt;=9930,270,IF(I213&gt;=9430,250,240))))),I215)</f>
        <v>360</v>
      </c>
      <c r="J216" s="123">
        <f t="shared" si="174"/>
        <v>360</v>
      </c>
      <c r="K216" s="123">
        <f t="shared" si="174"/>
        <v>360</v>
      </c>
      <c r="L216" s="123">
        <f t="shared" si="174"/>
        <v>360</v>
      </c>
      <c r="M216" s="123">
        <f t="shared" si="174"/>
        <v>360</v>
      </c>
      <c r="N216" s="123">
        <f t="shared" si="174"/>
        <v>700</v>
      </c>
      <c r="O216" s="123">
        <f t="shared" si="174"/>
        <v>700</v>
      </c>
      <c r="P216" s="123">
        <f t="shared" si="174"/>
        <v>700</v>
      </c>
      <c r="Q216" s="123">
        <f t="shared" si="174"/>
        <v>700</v>
      </c>
      <c r="AS216" s="127"/>
      <c r="AT216" s="127"/>
      <c r="AU216" s="127"/>
      <c r="AV216" s="127"/>
      <c r="AW216" s="127"/>
      <c r="AX216" s="127"/>
      <c r="AY216" s="127"/>
      <c r="AZ216" s="127"/>
      <c r="BA216" s="127"/>
      <c r="BB216" s="127"/>
      <c r="BC216" s="127"/>
      <c r="BD216" s="127"/>
      <c r="BE216" s="127"/>
      <c r="BF216" s="127"/>
      <c r="BG216" s="127"/>
      <c r="BH216" s="127"/>
      <c r="BI216" s="127"/>
    </row>
    <row r="217" spans="5:61" ht="15" hidden="1">
      <c r="E217" s="260" t="s">
        <v>239</v>
      </c>
      <c r="F217" s="260"/>
      <c r="G217" s="260"/>
      <c r="H217" s="202">
        <f>IF(H212&gt;36140," ",H216)</f>
        <v>360</v>
      </c>
      <c r="I217" s="202">
        <f aca="true" t="shared" si="175" ref="I217:Q217">IF(I212&gt;36140," ",I216)</f>
        <v>360</v>
      </c>
      <c r="J217" s="202">
        <f t="shared" si="175"/>
        <v>360</v>
      </c>
      <c r="K217" s="202">
        <f t="shared" si="175"/>
        <v>360</v>
      </c>
      <c r="L217" s="202">
        <f t="shared" si="175"/>
        <v>360</v>
      </c>
      <c r="M217" s="202">
        <f t="shared" si="175"/>
        <v>360</v>
      </c>
      <c r="N217" s="202">
        <f t="shared" si="175"/>
        <v>700</v>
      </c>
      <c r="O217" s="202">
        <f t="shared" si="175"/>
        <v>700</v>
      </c>
      <c r="P217" s="202">
        <f t="shared" si="175"/>
        <v>700</v>
      </c>
      <c r="Q217" s="202">
        <f t="shared" si="175"/>
        <v>700</v>
      </c>
      <c r="AS217" s="127"/>
      <c r="AT217" s="127"/>
      <c r="AU217" s="127"/>
      <c r="AV217" s="127"/>
      <c r="AW217" s="127"/>
      <c r="AX217" s="127"/>
      <c r="AY217" s="127"/>
      <c r="AZ217" s="127"/>
      <c r="BA217" s="127"/>
      <c r="BB217" s="127"/>
      <c r="BC217" s="127"/>
      <c r="BD217" s="127"/>
      <c r="BE217" s="127"/>
      <c r="BF217" s="127"/>
      <c r="BG217" s="127"/>
      <c r="BH217" s="127"/>
      <c r="BI217" s="127"/>
    </row>
    <row r="218" spans="5:61" ht="15" hidden="1">
      <c r="E218" s="260" t="s">
        <v>36</v>
      </c>
      <c r="F218" s="260"/>
      <c r="G218" s="260"/>
      <c r="H218">
        <f>H209+H217</f>
        <v>13560</v>
      </c>
      <c r="I218">
        <f aca="true" t="shared" si="176" ref="I218:Q218">I209+I217</f>
        <v>13560</v>
      </c>
      <c r="J218">
        <f t="shared" si="176"/>
        <v>13560</v>
      </c>
      <c r="K218">
        <f t="shared" si="176"/>
        <v>13560</v>
      </c>
      <c r="L218">
        <f t="shared" si="176"/>
        <v>13560</v>
      </c>
      <c r="M218">
        <f t="shared" si="176"/>
        <v>13560</v>
      </c>
      <c r="N218" t="e">
        <f t="shared" si="176"/>
        <v>#VALUE!</v>
      </c>
      <c r="O218" t="e">
        <f t="shared" si="176"/>
        <v>#VALUE!</v>
      </c>
      <c r="P218" t="e">
        <f t="shared" si="176"/>
        <v>#VALUE!</v>
      </c>
      <c r="Q218" t="e">
        <f t="shared" si="176"/>
        <v>#VALUE!</v>
      </c>
      <c r="AS218" s="127"/>
      <c r="AT218" s="127"/>
      <c r="AU218" s="127"/>
      <c r="AV218" s="127"/>
      <c r="AW218" s="127"/>
      <c r="AX218" s="127"/>
      <c r="AY218" s="127"/>
      <c r="AZ218" s="127"/>
      <c r="BA218" s="127"/>
      <c r="BB218" s="127"/>
      <c r="BC218" s="127"/>
      <c r="BD218" s="127"/>
      <c r="BE218" s="127"/>
      <c r="BF218" s="127"/>
      <c r="BG218" s="127"/>
      <c r="BH218" s="127"/>
      <c r="BI218" s="127"/>
    </row>
    <row r="219" spans="5:61" ht="15" hidden="1">
      <c r="E219" s="260" t="s">
        <v>241</v>
      </c>
      <c r="F219" s="260"/>
      <c r="G219" s="260"/>
      <c r="H219">
        <f>H212</f>
        <v>13560</v>
      </c>
      <c r="I219">
        <f aca="true" t="shared" si="177" ref="I219:Q219">I212</f>
        <v>13560</v>
      </c>
      <c r="J219">
        <f t="shared" si="177"/>
        <v>13560</v>
      </c>
      <c r="K219">
        <f t="shared" si="177"/>
        <v>13560</v>
      </c>
      <c r="L219">
        <f t="shared" si="177"/>
        <v>13560</v>
      </c>
      <c r="M219">
        <f t="shared" si="177"/>
        <v>13560</v>
      </c>
      <c r="N219">
        <f t="shared" si="177"/>
        <v>13560</v>
      </c>
      <c r="O219">
        <f t="shared" si="177"/>
        <v>13560</v>
      </c>
      <c r="P219">
        <f t="shared" si="177"/>
        <v>13560</v>
      </c>
      <c r="Q219">
        <f t="shared" si="177"/>
        <v>13560</v>
      </c>
      <c r="AS219" s="127"/>
      <c r="AT219" s="127"/>
      <c r="AU219" s="127"/>
      <c r="AV219" s="127"/>
      <c r="AW219" s="127"/>
      <c r="AX219" s="127"/>
      <c r="AY219" s="127"/>
      <c r="AZ219" s="127"/>
      <c r="BA219" s="127"/>
      <c r="BB219" s="127"/>
      <c r="BC219" s="127"/>
      <c r="BD219" s="127"/>
      <c r="BE219" s="127"/>
      <c r="BF219" s="127"/>
      <c r="BG219" s="127"/>
      <c r="BH219" s="127"/>
      <c r="BI219" s="127"/>
    </row>
    <row r="220" spans="5:61" ht="15" hidden="1">
      <c r="E220" s="260" t="s">
        <v>240</v>
      </c>
      <c r="F220" s="260"/>
      <c r="G220" s="260"/>
      <c r="H220">
        <f>VALUE(RIGHT(RIGHT(M9,8),LEN(RIGHT(M9,8))-FIND("-",RIGHT(M9,8),1)))</f>
        <v>29670</v>
      </c>
      <c r="I220">
        <f>VALUE(RIGHT(RIGHT(M9,8),LEN(RIGHT(M9,8))-FIND("-",RIGHT(M9,8),1)))</f>
        <v>29670</v>
      </c>
      <c r="J220">
        <f>VALUE(RIGHT(RIGHT(M9,8),LEN(RIGHT(M9,8))-FIND("-",RIGHT(M9,8),1)))</f>
        <v>29670</v>
      </c>
      <c r="K220">
        <f>VALUE(RIGHT(RIGHT(M9,8),LEN(RIGHT(M9,8))-FIND("-",RIGHT(M9,8),1)))</f>
        <v>29670</v>
      </c>
      <c r="L220">
        <f>VALUE(RIGHT(RIGHT(M9,8),LEN(RIGHT(M9,8))-FIND("-",RIGHT(M9,8),1)))</f>
        <v>29670</v>
      </c>
      <c r="M220">
        <f>VALUE(RIGHT(RIGHT(M9,8),LEN(RIGHT(M9,8))-FIND("-",RIGHT(M9,8),1)))</f>
        <v>29670</v>
      </c>
      <c r="N220">
        <f>VALUE(RIGHT(RIGHT(M9,8),LEN(RIGHT(M9,8))-FIND("-",RIGHT(M9,8),1)))</f>
        <v>29670</v>
      </c>
      <c r="O220">
        <f>VALUE(RIGHT(RIGHT(M9,8),LEN(RIGHT(M9,8))-FIND("-",RIGHT(M9,8),1)))</f>
        <v>29670</v>
      </c>
      <c r="P220">
        <f>VALUE(RIGHT(RIGHT(M9,8),LEN(RIGHT(M9,8))-FIND("-",RIGHT(M9,8),1)))</f>
        <v>29670</v>
      </c>
      <c r="Q220">
        <f>VALUE(RIGHT(RIGHT(M9,8),LEN(RIGHT(M9,8))-FIND("-",RIGHT(M9,8),1)))</f>
        <v>29670</v>
      </c>
      <c r="AS220" s="127"/>
      <c r="AT220" s="127"/>
      <c r="AU220" s="127"/>
      <c r="AV220" s="127"/>
      <c r="AW220" s="127"/>
      <c r="AX220" s="127"/>
      <c r="AY220" s="127"/>
      <c r="AZ220" s="127"/>
      <c r="BA220" s="127"/>
      <c r="BB220" s="127"/>
      <c r="BC220" s="127"/>
      <c r="BD220" s="127"/>
      <c r="BE220" s="127"/>
      <c r="BF220" s="127"/>
      <c r="BG220" s="127"/>
      <c r="BH220" s="127"/>
      <c r="BI220" s="127"/>
    </row>
    <row r="221" spans="8:61" ht="15" hidden="1">
      <c r="H221">
        <f>IF(H220&lt;=H218,H220-1,H218)</f>
        <v>13560</v>
      </c>
      <c r="I221">
        <f aca="true" t="shared" si="178" ref="I221:Q221">IF(I220&lt;=I218,I220-1,I218)</f>
        <v>13560</v>
      </c>
      <c r="J221">
        <f t="shared" si="178"/>
        <v>13560</v>
      </c>
      <c r="K221">
        <f t="shared" si="178"/>
        <v>13560</v>
      </c>
      <c r="L221">
        <f t="shared" si="178"/>
        <v>13560</v>
      </c>
      <c r="M221">
        <f t="shared" si="178"/>
        <v>13560</v>
      </c>
      <c r="N221" t="e">
        <f t="shared" si="178"/>
        <v>#VALUE!</v>
      </c>
      <c r="O221" t="e">
        <f t="shared" si="178"/>
        <v>#VALUE!</v>
      </c>
      <c r="P221" t="e">
        <f t="shared" si="178"/>
        <v>#VALUE!</v>
      </c>
      <c r="Q221" t="e">
        <f t="shared" si="178"/>
        <v>#VALUE!</v>
      </c>
      <c r="AS221" s="127"/>
      <c r="AT221" s="127"/>
      <c r="AU221" s="127"/>
      <c r="AV221" s="127"/>
      <c r="AW221" s="127"/>
      <c r="AX221" s="127"/>
      <c r="AY221" s="127"/>
      <c r="AZ221" s="127"/>
      <c r="BA221" s="127"/>
      <c r="BB221" s="127"/>
      <c r="BC221" s="127"/>
      <c r="BD221" s="127"/>
      <c r="BE221" s="127"/>
      <c r="BF221" s="127"/>
      <c r="BG221" s="127"/>
      <c r="BH221" s="127"/>
      <c r="BI221" s="127"/>
    </row>
    <row r="222" spans="8:61" ht="15" hidden="1">
      <c r="H222" s="66" t="str">
        <f>IF(H221&gt;=59250,1400,IF(H221&gt;=54050,1300,IF(H221&gt;=49250,1200,IF(H221&gt;=43750,1100,IF(H221&gt;=39750,1000,IF(H221&gt;=36110,910,IF(H221&gt;=32750,840,"X")))))))</f>
        <v>X</v>
      </c>
      <c r="I222" s="66" t="str">
        <f aca="true" t="shared" si="179" ref="I222:Q222">IF(I221&gt;=59250,1400,IF(I221&gt;=54050,1300,IF(I221&gt;=49250,1200,IF(I221&gt;=43750,1100,IF(I221&gt;=39750,1000,IF(I221&gt;=36110,910,IF(I221&gt;=32750,840,"X")))))))</f>
        <v>X</v>
      </c>
      <c r="J222" s="66" t="str">
        <f t="shared" si="179"/>
        <v>X</v>
      </c>
      <c r="K222" s="66" t="str">
        <f t="shared" si="179"/>
        <v>X</v>
      </c>
      <c r="L222" s="66" t="str">
        <f t="shared" si="179"/>
        <v>X</v>
      </c>
      <c r="M222" s="66" t="str">
        <f t="shared" si="179"/>
        <v>X</v>
      </c>
      <c r="N222" s="66" t="e">
        <f t="shared" si="179"/>
        <v>#VALUE!</v>
      </c>
      <c r="O222" s="66" t="e">
        <f t="shared" si="179"/>
        <v>#VALUE!</v>
      </c>
      <c r="P222" s="66" t="e">
        <f t="shared" si="179"/>
        <v>#VALUE!</v>
      </c>
      <c r="Q222" s="66" t="e">
        <f t="shared" si="179"/>
        <v>#VALUE!</v>
      </c>
      <c r="AS222" s="127"/>
      <c r="AT222" s="127"/>
      <c r="AU222" s="127"/>
      <c r="AV222" s="127"/>
      <c r="AW222" s="127"/>
      <c r="AX222" s="127"/>
      <c r="AY222" s="127"/>
      <c r="AZ222" s="127"/>
      <c r="BA222" s="127"/>
      <c r="BB222" s="127"/>
      <c r="BC222" s="127"/>
      <c r="BD222" s="127"/>
      <c r="BE222" s="127"/>
      <c r="BF222" s="127"/>
      <c r="BG222" s="127"/>
      <c r="BH222" s="127"/>
      <c r="BI222" s="127"/>
    </row>
    <row r="223" spans="8:61" ht="15" hidden="1">
      <c r="H223" s="66" t="str">
        <f>IF(H222="x",IF(H221&gt;=29670,770,IF(H221&gt;=26870,700,IF(H221&gt;=23720,630,IF(H221&gt;=21440,570,IF(H221&gt;=18440,500,IF(H221&gt;=16640,450,IF(H221&gt;=14640,400,"x"))))))),H222)</f>
        <v>x</v>
      </c>
      <c r="I223" s="66" t="str">
        <f aca="true" t="shared" si="180" ref="I223:Q223">IF(I222="x",IF(I221&gt;=29670,770,IF(I221&gt;=26870,700,IF(I221&gt;=23720,630,IF(I221&gt;=21440,570,IF(I221&gt;=18440,500,IF(I221&gt;=16640,450,IF(I221&gt;=14640,400,"x"))))))),I222)</f>
        <v>x</v>
      </c>
      <c r="J223" s="66" t="str">
        <f t="shared" si="180"/>
        <v>x</v>
      </c>
      <c r="K223" s="66" t="str">
        <f t="shared" si="180"/>
        <v>x</v>
      </c>
      <c r="L223" s="66" t="str">
        <f t="shared" si="180"/>
        <v>x</v>
      </c>
      <c r="M223" s="66" t="str">
        <f t="shared" si="180"/>
        <v>x</v>
      </c>
      <c r="N223" s="66" t="e">
        <f t="shared" si="180"/>
        <v>#VALUE!</v>
      </c>
      <c r="O223" s="66" t="e">
        <f t="shared" si="180"/>
        <v>#VALUE!</v>
      </c>
      <c r="P223" s="66" t="e">
        <f t="shared" si="180"/>
        <v>#VALUE!</v>
      </c>
      <c r="Q223" s="66" t="e">
        <f t="shared" si="180"/>
        <v>#VALUE!</v>
      </c>
      <c r="AS223" s="127"/>
      <c r="AT223" s="127"/>
      <c r="AU223" s="127"/>
      <c r="AV223" s="127"/>
      <c r="AW223" s="127"/>
      <c r="AX223" s="127"/>
      <c r="AY223" s="127"/>
      <c r="AZ223" s="127"/>
      <c r="BA223" s="127"/>
      <c r="BB223" s="127"/>
      <c r="BC223" s="127"/>
      <c r="BD223" s="127"/>
      <c r="BE223" s="127"/>
      <c r="BF223" s="127"/>
      <c r="BG223" s="127"/>
      <c r="BH223" s="127"/>
      <c r="BI223" s="127"/>
    </row>
    <row r="224" spans="8:61" ht="15" hidden="1">
      <c r="H224" s="123">
        <f>IF(H223="x",IF(H221&gt;=13200,360,IF(H221&gt;=12210,330,IF(H221&gt;=11010,300,IF(H221&gt;=9930,270,IF(H221&gt;=9430,250,240))))),H223)</f>
        <v>360</v>
      </c>
      <c r="I224" s="123">
        <f aca="true" t="shared" si="181" ref="I224:Q224">IF(I223="x",IF(I221&gt;=13200,360,IF(I221&gt;=12210,330,IF(I221&gt;=11010,300,IF(I221&gt;=9930,270,IF(I221&gt;=9430,250,240))))),I223)</f>
        <v>360</v>
      </c>
      <c r="J224" s="123">
        <f t="shared" si="181"/>
        <v>360</v>
      </c>
      <c r="K224" s="123">
        <f t="shared" si="181"/>
        <v>360</v>
      </c>
      <c r="L224" s="123">
        <f t="shared" si="181"/>
        <v>360</v>
      </c>
      <c r="M224" s="123">
        <f t="shared" si="181"/>
        <v>360</v>
      </c>
      <c r="N224" s="123" t="e">
        <f t="shared" si="181"/>
        <v>#VALUE!</v>
      </c>
      <c r="O224" s="123" t="e">
        <f t="shared" si="181"/>
        <v>#VALUE!</v>
      </c>
      <c r="P224" s="123" t="e">
        <f t="shared" si="181"/>
        <v>#VALUE!</v>
      </c>
      <c r="Q224" s="123" t="e">
        <f t="shared" si="181"/>
        <v>#VALUE!</v>
      </c>
      <c r="AS224" s="127"/>
      <c r="AT224" s="127"/>
      <c r="AU224" s="127"/>
      <c r="AV224" s="127"/>
      <c r="AW224" s="127"/>
      <c r="AX224" s="127"/>
      <c r="AY224" s="127"/>
      <c r="AZ224" s="127"/>
      <c r="BA224" s="127"/>
      <c r="BB224" s="127"/>
      <c r="BC224" s="127"/>
      <c r="BD224" s="127"/>
      <c r="BE224" s="127"/>
      <c r="BF224" s="127"/>
      <c r="BG224" s="127"/>
      <c r="BH224" s="127"/>
      <c r="BI224" s="127"/>
    </row>
    <row r="225" spans="4:61" ht="15" hidden="1">
      <c r="D225" s="204" t="str">
        <f>AE85</f>
        <v>Option B</v>
      </c>
      <c r="E225" s="260" t="s">
        <v>36</v>
      </c>
      <c r="F225" s="260"/>
      <c r="G225" s="260"/>
      <c r="H225">
        <f>H218+H224</f>
        <v>13920</v>
      </c>
      <c r="I225">
        <f aca="true" t="shared" si="182" ref="I225:Q225">I218+I224</f>
        <v>13920</v>
      </c>
      <c r="J225">
        <f t="shared" si="182"/>
        <v>13920</v>
      </c>
      <c r="K225">
        <f t="shared" si="182"/>
        <v>13920</v>
      </c>
      <c r="L225">
        <f t="shared" si="182"/>
        <v>13920</v>
      </c>
      <c r="M225">
        <f t="shared" si="182"/>
        <v>13920</v>
      </c>
      <c r="N225" t="e">
        <f t="shared" si="182"/>
        <v>#VALUE!</v>
      </c>
      <c r="O225" t="e">
        <f t="shared" si="182"/>
        <v>#VALUE!</v>
      </c>
      <c r="P225" t="e">
        <f t="shared" si="182"/>
        <v>#VALUE!</v>
      </c>
      <c r="Q225" t="e">
        <f t="shared" si="182"/>
        <v>#VALUE!</v>
      </c>
      <c r="AS225" s="127"/>
      <c r="AT225" s="127"/>
      <c r="AU225" s="127"/>
      <c r="AV225" s="127"/>
      <c r="AW225" s="127"/>
      <c r="AX225" s="127"/>
      <c r="AY225" s="127"/>
      <c r="AZ225" s="127"/>
      <c r="BA225" s="127"/>
      <c r="BB225" s="127"/>
      <c r="BC225" s="127"/>
      <c r="BD225" s="127"/>
      <c r="BE225" s="127"/>
      <c r="BF225" s="127"/>
      <c r="BG225" s="127"/>
      <c r="BH225" s="127"/>
      <c r="BI225" s="127"/>
    </row>
    <row r="226" spans="4:61" ht="15" hidden="1">
      <c r="D226" s="57">
        <f>IF(DATE(YEAR(J38)+1,MONTH(J38),DAY(1))&lt;=J39,1,0)</f>
        <v>0</v>
      </c>
      <c r="E226" s="260" t="s">
        <v>220</v>
      </c>
      <c r="F226" s="260"/>
      <c r="G226" s="260"/>
      <c r="H226" s="203">
        <f>IF(D225="Rule 30",IF(H209&lt;H219,H219,H209),IF(H225&lt;H219,H219,H225))</f>
        <v>13920</v>
      </c>
      <c r="I226" s="203">
        <f>IF(D225="Rule 30",IF(I209&lt;I219,I219,I209),IF(I225&lt;I219,I219,I225))</f>
        <v>13920</v>
      </c>
      <c r="J226" s="203">
        <f>IF(J162="Lower Post",IF(D225="Rule 30",IF(J209&lt;J219,J219,J209),IF(J225&lt;J219,J219,J225)),J180)</f>
        <v>13920</v>
      </c>
      <c r="K226" s="203">
        <f>IF(K162="Lower Post",IF(D225="Rule 30",IF(K209&lt;K219,K219,K209),IF(K225&lt;K219,K219,K225)),K180)</f>
        <v>13920</v>
      </c>
      <c r="L226" s="203">
        <f>IF(L162="Lower Post",IF(D225="Rule 30",IF(L209&lt;L219,L219,L209),IF(L225&lt;L219,L219,L225)),L180)</f>
        <v>13920</v>
      </c>
      <c r="M226" s="203">
        <f>IF(M162="Lower Post",IF(D225="Rule 30",IF(M209&lt;M219,M219,M209),IF(M225&lt;M219,M219,M225)),M180)</f>
        <v>13920</v>
      </c>
      <c r="N226" s="203">
        <f>IF(N162="Lower Post",IF(D225="Rule 30",IF(N209&lt;N219,N219,N209),IF(N225&lt;N219,N219,N225)),N180)</f>
        <v>13920</v>
      </c>
      <c r="O226" s="203">
        <f>IF(O162="Lower Post",IF(D225="Rule 30",IF(O209&lt;O219,O219,O209),IF(O225&lt;O219,O219,O225)),O180)</f>
        <v>14280</v>
      </c>
      <c r="P226" s="203" t="e">
        <f>IF(P162="Lower Post",IF(D225="Rule 30",IF(P209&lt;P219,P219,P209),IF(P225&lt;P219,P219,P225)),P180)</f>
        <v>#VALUE!</v>
      </c>
      <c r="Q226" s="203" t="e">
        <f>IF(Q162="Lower Post",IF(D225="Rule 30",IF(Q209&lt;Q219,Q219,Q209),IF(Q225&lt;Q219,Q219,Q225)),Q180)</f>
        <v>#VALUE!</v>
      </c>
      <c r="AS226" s="127"/>
      <c r="AT226" s="127"/>
      <c r="AU226" s="127"/>
      <c r="AV226" s="127"/>
      <c r="AW226" s="127"/>
      <c r="AX226" s="127"/>
      <c r="AY226" s="127"/>
      <c r="AZ226" s="127"/>
      <c r="BA226" s="127"/>
      <c r="BB226" s="127"/>
      <c r="BC226" s="127"/>
      <c r="BD226" s="127"/>
      <c r="BE226" s="127"/>
      <c r="BF226" s="127"/>
      <c r="BG226" s="127"/>
      <c r="BH226" s="127"/>
      <c r="BI226" s="127"/>
    </row>
    <row r="227" spans="8:61" ht="15" hidden="1">
      <c r="H227">
        <f>IF(H220&lt;=H226,H220-1,H226)</f>
        <v>13920</v>
      </c>
      <c r="I227">
        <f aca="true" t="shared" si="183" ref="I227:Q227">IF(I220&lt;=I226,I220-1,I226)</f>
        <v>13920</v>
      </c>
      <c r="J227">
        <f t="shared" si="183"/>
        <v>13920</v>
      </c>
      <c r="K227">
        <f t="shared" si="183"/>
        <v>13920</v>
      </c>
      <c r="L227">
        <f t="shared" si="183"/>
        <v>13920</v>
      </c>
      <c r="M227">
        <f t="shared" si="183"/>
        <v>13920</v>
      </c>
      <c r="N227">
        <f t="shared" si="183"/>
        <v>13920</v>
      </c>
      <c r="O227">
        <f t="shared" si="183"/>
        <v>14280</v>
      </c>
      <c r="P227" t="e">
        <f t="shared" si="183"/>
        <v>#VALUE!</v>
      </c>
      <c r="Q227" t="e">
        <f t="shared" si="183"/>
        <v>#VALUE!</v>
      </c>
      <c r="AS227" s="127"/>
      <c r="AT227" s="127"/>
      <c r="AU227" s="127"/>
      <c r="AV227" s="127"/>
      <c r="AW227" s="127"/>
      <c r="AX227" s="127"/>
      <c r="AY227" s="127"/>
      <c r="AZ227" s="127"/>
      <c r="BA227" s="127"/>
      <c r="BB227" s="127"/>
      <c r="BC227" s="127"/>
      <c r="BD227" s="127"/>
      <c r="BE227" s="127"/>
      <c r="BF227" s="127"/>
      <c r="BG227" s="127"/>
      <c r="BH227" s="127"/>
      <c r="BI227" s="127"/>
    </row>
    <row r="228" spans="8:61" ht="15" hidden="1">
      <c r="H228" s="66" t="str">
        <f>IF(H227&gt;=59250,1400,IF(H227&gt;=54050,1300,IF(H227&gt;=49250,1200,IF(H227&gt;=43750,1100,IF(H227&gt;=39750,1000,IF(H227&gt;=36110,910,IF(H227&gt;=32750,840,"X")))))))</f>
        <v>X</v>
      </c>
      <c r="I228" s="66" t="str">
        <f aca="true" t="shared" si="184" ref="I228:Q228">IF(I227&gt;=59250,1400,IF(I227&gt;=54050,1300,IF(I227&gt;=49250,1200,IF(I227&gt;=43750,1100,IF(I227&gt;=39750,1000,IF(I227&gt;=36110,910,IF(I227&gt;=32750,840,"X")))))))</f>
        <v>X</v>
      </c>
      <c r="J228" s="66" t="str">
        <f t="shared" si="184"/>
        <v>X</v>
      </c>
      <c r="K228" s="66" t="str">
        <f t="shared" si="184"/>
        <v>X</v>
      </c>
      <c r="L228" s="66" t="str">
        <f t="shared" si="184"/>
        <v>X</v>
      </c>
      <c r="M228" s="66" t="str">
        <f t="shared" si="184"/>
        <v>X</v>
      </c>
      <c r="N228" s="66" t="str">
        <f t="shared" si="184"/>
        <v>X</v>
      </c>
      <c r="O228" s="66" t="str">
        <f t="shared" si="184"/>
        <v>X</v>
      </c>
      <c r="P228" s="66" t="e">
        <f t="shared" si="184"/>
        <v>#VALUE!</v>
      </c>
      <c r="Q228" s="66" t="e">
        <f t="shared" si="184"/>
        <v>#VALUE!</v>
      </c>
      <c r="AS228" s="127"/>
      <c r="AT228" s="127"/>
      <c r="AU228" s="127"/>
      <c r="AV228" s="127"/>
      <c r="AW228" s="127"/>
      <c r="AX228" s="127"/>
      <c r="AY228" s="127"/>
      <c r="AZ228" s="127"/>
      <c r="BA228" s="127"/>
      <c r="BB228" s="127"/>
      <c r="BC228" s="127"/>
      <c r="BD228" s="127"/>
      <c r="BE228" s="127"/>
      <c r="BF228" s="127"/>
      <c r="BG228" s="127"/>
      <c r="BH228" s="127"/>
      <c r="BI228" s="127"/>
    </row>
    <row r="229" spans="8:61" ht="15" hidden="1">
      <c r="H229" s="66" t="str">
        <f>IF(H228="x",IF(H227&gt;=29670,770,IF(H227&gt;=26870,700,IF(H227&gt;=23720,630,IF(H227&gt;=21440,570,IF(H227&gt;=18440,500,IF(H227&gt;=16640,450,IF(H227&gt;=14640,400,"x"))))))),H228)</f>
        <v>x</v>
      </c>
      <c r="I229" s="66" t="str">
        <f aca="true" t="shared" si="185" ref="I229:Q229">IF(I228="x",IF(I227&gt;=29670,770,IF(I227&gt;=26870,700,IF(I227&gt;=23720,630,IF(I227&gt;=21440,570,IF(I227&gt;=18440,500,IF(I227&gt;=16640,450,IF(I227&gt;=14640,400,"x"))))))),I228)</f>
        <v>x</v>
      </c>
      <c r="J229" s="66" t="str">
        <f t="shared" si="185"/>
        <v>x</v>
      </c>
      <c r="K229" s="66" t="str">
        <f t="shared" si="185"/>
        <v>x</v>
      </c>
      <c r="L229" s="66" t="str">
        <f t="shared" si="185"/>
        <v>x</v>
      </c>
      <c r="M229" s="66" t="str">
        <f t="shared" si="185"/>
        <v>x</v>
      </c>
      <c r="N229" s="66" t="str">
        <f t="shared" si="185"/>
        <v>x</v>
      </c>
      <c r="O229" s="66" t="str">
        <f t="shared" si="185"/>
        <v>x</v>
      </c>
      <c r="P229" s="66" t="e">
        <f t="shared" si="185"/>
        <v>#VALUE!</v>
      </c>
      <c r="Q229" s="66" t="e">
        <f t="shared" si="185"/>
        <v>#VALUE!</v>
      </c>
      <c r="AS229" s="127"/>
      <c r="AT229" s="127"/>
      <c r="AU229" s="127"/>
      <c r="AV229" s="127"/>
      <c r="AW229" s="127"/>
      <c r="AX229" s="127"/>
      <c r="AY229" s="127"/>
      <c r="AZ229" s="127"/>
      <c r="BA229" s="127"/>
      <c r="BB229" s="127"/>
      <c r="BC229" s="127"/>
      <c r="BD229" s="127"/>
      <c r="BE229" s="127"/>
      <c r="BF229" s="127"/>
      <c r="BG229" s="127"/>
      <c r="BH229" s="127"/>
      <c r="BI229" s="127"/>
    </row>
    <row r="230" spans="8:61" ht="15" hidden="1">
      <c r="H230" s="123">
        <f>IF(H229="x",IF(H227&gt;=13200,360,IF(H227&gt;=12210,330,IF(H227&gt;=11010,300,IF(H227&gt;=9930,270,IF(H227&gt;=9430,250,240))))),H229)</f>
        <v>360</v>
      </c>
      <c r="I230" s="123">
        <f aca="true" t="shared" si="186" ref="I230:Q230">IF(I229="x",IF(I227&gt;=13200,360,IF(I227&gt;=12210,330,IF(I227&gt;=11010,300,IF(I227&gt;=9930,270,IF(I227&gt;=9430,250,240))))),I229)</f>
        <v>360</v>
      </c>
      <c r="J230" s="123">
        <f t="shared" si="186"/>
        <v>360</v>
      </c>
      <c r="K230" s="123">
        <f t="shared" si="186"/>
        <v>360</v>
      </c>
      <c r="L230" s="123">
        <f t="shared" si="186"/>
        <v>360</v>
      </c>
      <c r="M230" s="123">
        <f t="shared" si="186"/>
        <v>360</v>
      </c>
      <c r="N230" s="123">
        <f t="shared" si="186"/>
        <v>360</v>
      </c>
      <c r="O230" s="123">
        <f t="shared" si="186"/>
        <v>360</v>
      </c>
      <c r="P230" s="123" t="e">
        <f t="shared" si="186"/>
        <v>#VALUE!</v>
      </c>
      <c r="Q230" s="123" t="e">
        <f t="shared" si="186"/>
        <v>#VALUE!</v>
      </c>
      <c r="AS230" s="127"/>
      <c r="AT230" s="127"/>
      <c r="AU230" s="127"/>
      <c r="AV230" s="127"/>
      <c r="AW230" s="127"/>
      <c r="AX230" s="127"/>
      <c r="AY230" s="127"/>
      <c r="AZ230" s="127"/>
      <c r="BA230" s="127"/>
      <c r="BB230" s="127"/>
      <c r="BC230" s="127"/>
      <c r="BD230" s="127"/>
      <c r="BE230" s="127"/>
      <c r="BF230" s="127"/>
      <c r="BG230" s="127"/>
      <c r="BH230" s="127"/>
      <c r="BI230" s="127"/>
    </row>
    <row r="231" spans="4:61" ht="15" hidden="1">
      <c r="D231" t="s">
        <v>242</v>
      </c>
      <c r="E231" s="259">
        <f>DATE(YEAR(H207)+1,MONTH(H207),DAY(1))</f>
        <v>41122</v>
      </c>
      <c r="F231" s="259"/>
      <c r="G231" s="259"/>
      <c r="H231">
        <f>H226+H230</f>
        <v>14280</v>
      </c>
      <c r="I231">
        <f aca="true" t="shared" si="187" ref="I231:Q231">I226+I230</f>
        <v>14280</v>
      </c>
      <c r="J231">
        <f t="shared" si="187"/>
        <v>14280</v>
      </c>
      <c r="K231">
        <f t="shared" si="187"/>
        <v>14280</v>
      </c>
      <c r="L231">
        <f t="shared" si="187"/>
        <v>14280</v>
      </c>
      <c r="M231">
        <f t="shared" si="187"/>
        <v>14280</v>
      </c>
      <c r="N231">
        <f t="shared" si="187"/>
        <v>14280</v>
      </c>
      <c r="O231">
        <f t="shared" si="187"/>
        <v>14640</v>
      </c>
      <c r="P231" t="e">
        <f t="shared" si="187"/>
        <v>#VALUE!</v>
      </c>
      <c r="Q231" t="e">
        <f t="shared" si="187"/>
        <v>#VALUE!</v>
      </c>
      <c r="AS231" s="127"/>
      <c r="AT231" s="127"/>
      <c r="AU231" s="127"/>
      <c r="AV231" s="127"/>
      <c r="AW231" s="127"/>
      <c r="AX231" s="127"/>
      <c r="AY231" s="127"/>
      <c r="AZ231" s="127"/>
      <c r="BA231" s="127"/>
      <c r="BB231" s="127"/>
      <c r="BC231" s="127"/>
      <c r="BD231" s="127"/>
      <c r="BE231" s="127"/>
      <c r="BF231" s="127"/>
      <c r="BG231" s="127"/>
      <c r="BH231" s="127"/>
      <c r="BI231" s="127"/>
    </row>
    <row r="232" spans="4:61" ht="15" hidden="1">
      <c r="D232" t="s">
        <v>247</v>
      </c>
      <c r="E232" s="325">
        <f>J39</f>
        <v>40940</v>
      </c>
      <c r="F232" s="325"/>
      <c r="G232" s="325"/>
      <c r="H232" s="205">
        <f>IF(D225="Rule 30",H231,IF(D226=0,H226,IF(E232&gt;=E231,H231,H226)))</f>
        <v>13920</v>
      </c>
      <c r="I232" s="205">
        <f>IF(D225="Rule 30",I231,IF(D226=0,I226,IF(E232&gt;=E231,I231,I226)))</f>
        <v>13920</v>
      </c>
      <c r="J232" s="205">
        <f>IF(D225="Rule 30",J231,IF(D226=0,J226,IF(E232&gt;=E231,J231,J226)))</f>
        <v>13920</v>
      </c>
      <c r="K232" s="205">
        <f>IF(D225="Rule 30",K231,IF(D226=0,K226,IF(E232&gt;=E231,K231,K226)))</f>
        <v>13920</v>
      </c>
      <c r="L232" s="205">
        <f>IF(D225="Rule 30",L231,IF(D226=0,L226,IF(E232&gt;=E231,L231,L226)))</f>
        <v>13920</v>
      </c>
      <c r="M232" s="205">
        <f>IF(D225="Rule 30",M231,IF(D226=0,M226,IF(E232&gt;=E231,M231,M226)))</f>
        <v>13920</v>
      </c>
      <c r="N232" s="205">
        <f>IF(D225="Rule 30",N231,IF(D226=0,N226,IF(E232&gt;=E231,N231,N226)))</f>
        <v>13920</v>
      </c>
      <c r="O232" s="205">
        <f>IF(D225="Rule 30",O231,IF(D226=0,O226,IF(E232&gt;=E231,O231,O226)))</f>
        <v>14280</v>
      </c>
      <c r="P232" s="205" t="e">
        <f>IF(D225="Rule 30",P231,IF(D226=0,P226,IF(E232&gt;=E231,P231,P226)))</f>
        <v>#VALUE!</v>
      </c>
      <c r="Q232" s="205" t="e">
        <f>IF(D225="Rule 30",Q231,IF(D226=0,Q226,IF(E232&gt;=E231,Q231,Q226)))</f>
        <v>#VALUE!</v>
      </c>
      <c r="AS232" s="127"/>
      <c r="AT232" s="127"/>
      <c r="AU232" s="127"/>
      <c r="AV232" s="127"/>
      <c r="AW232" s="127"/>
      <c r="AX232" s="127"/>
      <c r="AY232" s="127"/>
      <c r="AZ232" s="127"/>
      <c r="BA232" s="127"/>
      <c r="BB232" s="127"/>
      <c r="BC232" s="127"/>
      <c r="BD232" s="127"/>
      <c r="BE232" s="127"/>
      <c r="BF232" s="127"/>
      <c r="BG232" s="127"/>
      <c r="BH232" s="127"/>
      <c r="BI232" s="127"/>
    </row>
    <row r="233" spans="8:61" ht="15" hidden="1">
      <c r="H233">
        <f>IF(H220&lt;=H232,H220-1,H232)</f>
        <v>13920</v>
      </c>
      <c r="I233">
        <f aca="true" t="shared" si="188" ref="I233:Q233">IF(I220&lt;=I232,I220-1,I232)</f>
        <v>13920</v>
      </c>
      <c r="J233">
        <f t="shared" si="188"/>
        <v>13920</v>
      </c>
      <c r="K233">
        <f t="shared" si="188"/>
        <v>13920</v>
      </c>
      <c r="L233">
        <f t="shared" si="188"/>
        <v>13920</v>
      </c>
      <c r="M233">
        <f t="shared" si="188"/>
        <v>13920</v>
      </c>
      <c r="N233">
        <f t="shared" si="188"/>
        <v>13920</v>
      </c>
      <c r="O233">
        <f t="shared" si="188"/>
        <v>14280</v>
      </c>
      <c r="P233" t="e">
        <f t="shared" si="188"/>
        <v>#VALUE!</v>
      </c>
      <c r="Q233" t="e">
        <f t="shared" si="188"/>
        <v>#VALUE!</v>
      </c>
      <c r="AS233" s="127"/>
      <c r="AT233" s="127"/>
      <c r="AU233" s="127"/>
      <c r="AV233" s="127"/>
      <c r="AW233" s="127"/>
      <c r="AX233" s="127"/>
      <c r="AY233" s="127"/>
      <c r="AZ233" s="127"/>
      <c r="BA233" s="127"/>
      <c r="BB233" s="127"/>
      <c r="BC233" s="127"/>
      <c r="BD233" s="127"/>
      <c r="BE233" s="127"/>
      <c r="BF233" s="127"/>
      <c r="BG233" s="127"/>
      <c r="BH233" s="127"/>
      <c r="BI233" s="127"/>
    </row>
    <row r="234" spans="8:61" ht="15" hidden="1">
      <c r="H234" s="66" t="str">
        <f>IF(H233&gt;=59250,1400,IF(H233&gt;=54050,1300,IF(H233&gt;=49250,1200,IF(H233&gt;=43750,1100,IF(H233&gt;=39750,1000,IF(H233&gt;=36110,910,IF(H233&gt;=32750,840,"X")))))))</f>
        <v>X</v>
      </c>
      <c r="I234" s="66" t="str">
        <f aca="true" t="shared" si="189" ref="I234:Q234">IF(I233&gt;=59250,1400,IF(I233&gt;=54050,1300,IF(I233&gt;=49250,1200,IF(I233&gt;=43750,1100,IF(I233&gt;=39750,1000,IF(I233&gt;=36110,910,IF(I233&gt;=32750,840,"X")))))))</f>
        <v>X</v>
      </c>
      <c r="J234" s="66" t="str">
        <f t="shared" si="189"/>
        <v>X</v>
      </c>
      <c r="K234" s="66" t="str">
        <f t="shared" si="189"/>
        <v>X</v>
      </c>
      <c r="L234" s="66" t="str">
        <f t="shared" si="189"/>
        <v>X</v>
      </c>
      <c r="M234" s="66" t="str">
        <f t="shared" si="189"/>
        <v>X</v>
      </c>
      <c r="N234" s="66" t="str">
        <f t="shared" si="189"/>
        <v>X</v>
      </c>
      <c r="O234" s="66" t="str">
        <f t="shared" si="189"/>
        <v>X</v>
      </c>
      <c r="P234" s="66" t="e">
        <f t="shared" si="189"/>
        <v>#VALUE!</v>
      </c>
      <c r="Q234" s="66" t="e">
        <f t="shared" si="189"/>
        <v>#VALUE!</v>
      </c>
      <c r="AS234" s="127"/>
      <c r="AT234" s="127"/>
      <c r="AU234" s="127"/>
      <c r="AV234" s="127"/>
      <c r="AW234" s="127"/>
      <c r="AX234" s="127"/>
      <c r="AY234" s="127"/>
      <c r="AZ234" s="127"/>
      <c r="BA234" s="127"/>
      <c r="BB234" s="127"/>
      <c r="BC234" s="127"/>
      <c r="BD234" s="127"/>
      <c r="BE234" s="127"/>
      <c r="BF234" s="127"/>
      <c r="BG234" s="127"/>
      <c r="BH234" s="127"/>
      <c r="BI234" s="127"/>
    </row>
    <row r="235" spans="8:61" ht="15" hidden="1">
      <c r="H235" s="66" t="str">
        <f>IF(H234="x",IF(H233&gt;=29670,770,IF(H233&gt;=26870,700,IF(H233&gt;=23720,630,IF(H233&gt;=21440,570,IF(H233&gt;=18440,500,IF(H233&gt;=16640,450,IF(H233&gt;=14640,400,"x"))))))),H234)</f>
        <v>x</v>
      </c>
      <c r="I235" s="66" t="str">
        <f aca="true" t="shared" si="190" ref="I235:Q235">IF(I234="x",IF(I233&gt;=29670,770,IF(I233&gt;=26870,700,IF(I233&gt;=23720,630,IF(I233&gt;=21440,570,IF(I233&gt;=18440,500,IF(I233&gt;=16640,450,IF(I233&gt;=14640,400,"x"))))))),I234)</f>
        <v>x</v>
      </c>
      <c r="J235" s="66" t="str">
        <f t="shared" si="190"/>
        <v>x</v>
      </c>
      <c r="K235" s="66" t="str">
        <f t="shared" si="190"/>
        <v>x</v>
      </c>
      <c r="L235" s="66" t="str">
        <f t="shared" si="190"/>
        <v>x</v>
      </c>
      <c r="M235" s="66" t="str">
        <f t="shared" si="190"/>
        <v>x</v>
      </c>
      <c r="N235" s="66" t="str">
        <f t="shared" si="190"/>
        <v>x</v>
      </c>
      <c r="O235" s="66" t="str">
        <f t="shared" si="190"/>
        <v>x</v>
      </c>
      <c r="P235" s="66" t="e">
        <f t="shared" si="190"/>
        <v>#VALUE!</v>
      </c>
      <c r="Q235" s="66" t="e">
        <f t="shared" si="190"/>
        <v>#VALUE!</v>
      </c>
      <c r="AS235" s="127"/>
      <c r="AT235" s="127"/>
      <c r="AU235" s="127"/>
      <c r="AV235" s="127"/>
      <c r="AW235" s="127"/>
      <c r="AX235" s="127"/>
      <c r="AY235" s="127"/>
      <c r="AZ235" s="127"/>
      <c r="BA235" s="127"/>
      <c r="BB235" s="127"/>
      <c r="BC235" s="127"/>
      <c r="BD235" s="127"/>
      <c r="BE235" s="127"/>
      <c r="BF235" s="127"/>
      <c r="BG235" s="127"/>
      <c r="BH235" s="127"/>
      <c r="BI235" s="127"/>
    </row>
    <row r="236" spans="4:61" ht="15" hidden="1">
      <c r="D236" t="s">
        <v>252</v>
      </c>
      <c r="E236" s="259">
        <f>DATE(YEAR(E232)+1,MONTH(E232),DAY(1))</f>
        <v>41306</v>
      </c>
      <c r="F236" s="259"/>
      <c r="H236" s="123">
        <f>IF(H235="x",IF(H233&gt;=13200,360,IF(H233&gt;=12210,330,IF(H233&gt;=11010,300,IF(H233&gt;=9930,270,IF(H233&gt;=9430,250,240))))),H235)</f>
        <v>360</v>
      </c>
      <c r="I236" s="123">
        <f aca="true" t="shared" si="191" ref="I236:Q236">IF(I235="x",IF(I233&gt;=13200,360,IF(I233&gt;=12210,330,IF(I233&gt;=11010,300,IF(I233&gt;=9930,270,IF(I233&gt;=9430,250,240))))),I235)</f>
        <v>360</v>
      </c>
      <c r="J236" s="123">
        <f t="shared" si="191"/>
        <v>360</v>
      </c>
      <c r="K236" s="123">
        <f t="shared" si="191"/>
        <v>360</v>
      </c>
      <c r="L236" s="123">
        <f t="shared" si="191"/>
        <v>360</v>
      </c>
      <c r="M236" s="123">
        <f t="shared" si="191"/>
        <v>360</v>
      </c>
      <c r="N236" s="123">
        <f t="shared" si="191"/>
        <v>360</v>
      </c>
      <c r="O236" s="123">
        <f t="shared" si="191"/>
        <v>360</v>
      </c>
      <c r="P236" s="123" t="e">
        <f t="shared" si="191"/>
        <v>#VALUE!</v>
      </c>
      <c r="Q236" s="123" t="e">
        <f t="shared" si="191"/>
        <v>#VALUE!</v>
      </c>
      <c r="AS236" s="127"/>
      <c r="AT236" s="127"/>
      <c r="AU236" s="127"/>
      <c r="AV236" s="127"/>
      <c r="AW236" s="127"/>
      <c r="AX236" s="127"/>
      <c r="AY236" s="127"/>
      <c r="AZ236" s="127"/>
      <c r="BA236" s="127"/>
      <c r="BB236" s="127"/>
      <c r="BC236" s="127"/>
      <c r="BD236" s="127"/>
      <c r="BE236" s="127"/>
      <c r="BF236" s="127"/>
      <c r="BG236" s="127"/>
      <c r="BH236" s="127"/>
      <c r="BI236" s="127"/>
    </row>
    <row r="237" spans="4:61" ht="15" hidden="1">
      <c r="D237" t="s">
        <v>251</v>
      </c>
      <c r="E237" s="259">
        <f>S173</f>
        <v>41306</v>
      </c>
      <c r="F237" s="260"/>
      <c r="H237">
        <f>IF(E237&gt;=E236,H232+H236,H232)</f>
        <v>14280</v>
      </c>
      <c r="I237">
        <f aca="true" t="shared" si="192" ref="I237:Q237">IF(F237&gt;=F236,I232+I236,I232)</f>
        <v>14280</v>
      </c>
      <c r="J237">
        <f t="shared" si="192"/>
        <v>14280</v>
      </c>
      <c r="K237">
        <f t="shared" si="192"/>
        <v>14280</v>
      </c>
      <c r="L237">
        <f t="shared" si="192"/>
        <v>14280</v>
      </c>
      <c r="M237">
        <f t="shared" si="192"/>
        <v>14280</v>
      </c>
      <c r="N237">
        <f t="shared" si="192"/>
        <v>14280</v>
      </c>
      <c r="O237">
        <f t="shared" si="192"/>
        <v>14640</v>
      </c>
      <c r="P237" t="e">
        <f t="shared" si="192"/>
        <v>#VALUE!</v>
      </c>
      <c r="Q237" t="e">
        <f t="shared" si="192"/>
        <v>#VALUE!</v>
      </c>
      <c r="AS237" s="127"/>
      <c r="AT237" s="127"/>
      <c r="AU237" s="127"/>
      <c r="AV237" s="127"/>
      <c r="AW237" s="127"/>
      <c r="AX237" s="127"/>
      <c r="AY237" s="127"/>
      <c r="AZ237" s="127"/>
      <c r="BA237" s="127"/>
      <c r="BB237" s="127"/>
      <c r="BC237" s="127"/>
      <c r="BD237" s="127"/>
      <c r="BE237" s="127"/>
      <c r="BF237" s="127"/>
      <c r="BG237" s="127"/>
      <c r="BH237" s="127"/>
      <c r="BI237" s="127"/>
    </row>
    <row r="238" spans="45:61" ht="15" hidden="1">
      <c r="AS238" s="127"/>
      <c r="AT238" s="127"/>
      <c r="AU238" s="127"/>
      <c r="AV238" s="127"/>
      <c r="AW238" s="127"/>
      <c r="AX238" s="127"/>
      <c r="AY238" s="127"/>
      <c r="AZ238" s="127"/>
      <c r="BA238" s="127"/>
      <c r="BB238" s="127"/>
      <c r="BC238" s="127"/>
      <c r="BD238" s="127"/>
      <c r="BE238" s="127"/>
      <c r="BF238" s="127"/>
      <c r="BG238" s="127"/>
      <c r="BH238" s="127"/>
      <c r="BI238" s="127"/>
    </row>
    <row r="239" spans="45:61" ht="15" hidden="1">
      <c r="AS239" s="127"/>
      <c r="AT239" s="127"/>
      <c r="AU239" s="127"/>
      <c r="AV239" s="127"/>
      <c r="AW239" s="127"/>
      <c r="AX239" s="127"/>
      <c r="AY239" s="127"/>
      <c r="AZ239" s="127"/>
      <c r="BA239" s="127"/>
      <c r="BB239" s="127"/>
      <c r="BC239" s="127"/>
      <c r="BD239" s="127"/>
      <c r="BE239" s="127"/>
      <c r="BF239" s="127"/>
      <c r="BG239" s="127"/>
      <c r="BH239" s="127"/>
      <c r="BI239" s="127"/>
    </row>
    <row r="240" spans="45:61" ht="15" hidden="1">
      <c r="AS240" s="127"/>
      <c r="AT240" s="127"/>
      <c r="AU240" s="127"/>
      <c r="AV240" s="127"/>
      <c r="AW240" s="127"/>
      <c r="AX240" s="127"/>
      <c r="AY240" s="127"/>
      <c r="AZ240" s="127"/>
      <c r="BA240" s="127"/>
      <c r="BB240" s="127"/>
      <c r="BC240" s="127"/>
      <c r="BD240" s="127"/>
      <c r="BE240" s="127"/>
      <c r="BF240" s="127"/>
      <c r="BG240" s="127"/>
      <c r="BH240" s="127"/>
      <c r="BI240" s="127"/>
    </row>
    <row r="241" spans="45:61" ht="15" hidden="1">
      <c r="AS241" s="127"/>
      <c r="AT241" s="127"/>
      <c r="AU241" s="127"/>
      <c r="AV241" s="127"/>
      <c r="AW241" s="127"/>
      <c r="AX241" s="127"/>
      <c r="AY241" s="127"/>
      <c r="AZ241" s="127"/>
      <c r="BA241" s="127"/>
      <c r="BB241" s="127"/>
      <c r="BC241" s="127"/>
      <c r="BD241" s="127"/>
      <c r="BE241" s="127"/>
      <c r="BF241" s="127"/>
      <c r="BG241" s="127"/>
      <c r="BH241" s="127"/>
      <c r="BI241" s="127"/>
    </row>
    <row r="242" spans="45:61" ht="15" hidden="1">
      <c r="AS242" s="127"/>
      <c r="AT242" s="127"/>
      <c r="AU242" s="127"/>
      <c r="AV242" s="127"/>
      <c r="AW242" s="127"/>
      <c r="AX242" s="127"/>
      <c r="AY242" s="127"/>
      <c r="AZ242" s="127"/>
      <c r="BA242" s="127"/>
      <c r="BB242" s="127"/>
      <c r="BC242" s="127"/>
      <c r="BD242" s="127"/>
      <c r="BE242" s="127"/>
      <c r="BF242" s="127"/>
      <c r="BG242" s="127"/>
      <c r="BH242" s="127"/>
      <c r="BI242" s="127"/>
    </row>
    <row r="243" spans="45:61" ht="15" hidden="1">
      <c r="AS243" s="127"/>
      <c r="AT243" s="127"/>
      <c r="AU243" s="127"/>
      <c r="AV243" s="127"/>
      <c r="AW243" s="127"/>
      <c r="AX243" s="127"/>
      <c r="AY243" s="127"/>
      <c r="AZ243" s="127"/>
      <c r="BA243" s="127"/>
      <c r="BB243" s="127"/>
      <c r="BC243" s="127"/>
      <c r="BD243" s="127"/>
      <c r="BE243" s="127"/>
      <c r="BF243" s="127"/>
      <c r="BG243" s="127"/>
      <c r="BH243" s="127"/>
      <c r="BI243" s="127"/>
    </row>
    <row r="244" spans="45:61" ht="15" hidden="1">
      <c r="AS244" s="127"/>
      <c r="AT244" s="127"/>
      <c r="AU244" s="127"/>
      <c r="AV244" s="127"/>
      <c r="AW244" s="127"/>
      <c r="AX244" s="127"/>
      <c r="AY244" s="127"/>
      <c r="AZ244" s="127"/>
      <c r="BA244" s="127"/>
      <c r="BB244" s="127"/>
      <c r="BC244" s="127"/>
      <c r="BD244" s="127"/>
      <c r="BE244" s="127"/>
      <c r="BF244" s="127"/>
      <c r="BG244" s="127"/>
      <c r="BH244" s="127"/>
      <c r="BI244" s="127"/>
    </row>
    <row r="245" spans="45:61" ht="15" hidden="1">
      <c r="AS245" s="127"/>
      <c r="AT245" s="127"/>
      <c r="AU245" s="127"/>
      <c r="AV245" s="127"/>
      <c r="AW245" s="127"/>
      <c r="AX245" s="127"/>
      <c r="AY245" s="127"/>
      <c r="AZ245" s="127"/>
      <c r="BA245" s="127"/>
      <c r="BB245" s="127"/>
      <c r="BC245" s="127"/>
      <c r="BD245" s="127"/>
      <c r="BE245" s="127"/>
      <c r="BF245" s="127"/>
      <c r="BG245" s="127"/>
      <c r="BH245" s="127"/>
      <c r="BI245" s="127"/>
    </row>
    <row r="246" spans="45:61" ht="15" hidden="1">
      <c r="AS246" s="127"/>
      <c r="AT246" s="127"/>
      <c r="AU246" s="127"/>
      <c r="AV246" s="127"/>
      <c r="AW246" s="127"/>
      <c r="AX246" s="127"/>
      <c r="AY246" s="127"/>
      <c r="AZ246" s="127"/>
      <c r="BA246" s="127"/>
      <c r="BB246" s="127"/>
      <c r="BC246" s="127"/>
      <c r="BD246" s="127"/>
      <c r="BE246" s="127"/>
      <c r="BF246" s="127"/>
      <c r="BG246" s="127"/>
      <c r="BH246" s="127"/>
      <c r="BI246" s="127"/>
    </row>
    <row r="247" spans="45:61" ht="15" hidden="1">
      <c r="AS247" s="127"/>
      <c r="AT247" s="127"/>
      <c r="AU247" s="127"/>
      <c r="AV247" s="127"/>
      <c r="AW247" s="127"/>
      <c r="AX247" s="127"/>
      <c r="AY247" s="127"/>
      <c r="AZ247" s="127"/>
      <c r="BA247" s="127"/>
      <c r="BB247" s="127"/>
      <c r="BC247" s="127"/>
      <c r="BD247" s="127"/>
      <c r="BE247" s="127"/>
      <c r="BF247" s="127"/>
      <c r="BG247" s="127"/>
      <c r="BH247" s="127"/>
      <c r="BI247" s="127"/>
    </row>
    <row r="248" spans="45:61" ht="15" hidden="1">
      <c r="AS248" s="127"/>
      <c r="AT248" s="127"/>
      <c r="AU248" s="127"/>
      <c r="AV248" s="127"/>
      <c r="AW248" s="127"/>
      <c r="AX248" s="127"/>
      <c r="AY248" s="127"/>
      <c r="AZ248" s="127"/>
      <c r="BA248" s="127"/>
      <c r="BB248" s="127"/>
      <c r="BC248" s="127"/>
      <c r="BD248" s="127"/>
      <c r="BE248" s="127"/>
      <c r="BF248" s="127"/>
      <c r="BG248" s="127"/>
      <c r="BH248" s="127"/>
      <c r="BI248" s="127"/>
    </row>
    <row r="249" spans="45:61" ht="15" hidden="1">
      <c r="AS249" s="127"/>
      <c r="AT249" s="127"/>
      <c r="AU249" s="127"/>
      <c r="AV249" s="127"/>
      <c r="AW249" s="127"/>
      <c r="AX249" s="127"/>
      <c r="AY249" s="127"/>
      <c r="AZ249" s="127"/>
      <c r="BA249" s="127"/>
      <c r="BB249" s="127"/>
      <c r="BC249" s="127"/>
      <c r="BD249" s="127"/>
      <c r="BE249" s="127"/>
      <c r="BF249" s="127"/>
      <c r="BG249" s="127"/>
      <c r="BH249" s="127"/>
      <c r="BI249" s="127"/>
    </row>
  </sheetData>
  <sheetProtection password="8781" sheet="1" objects="1" scenarios="1"/>
  <mergeCells count="133">
    <mergeCell ref="R175:S175"/>
    <mergeCell ref="E159:Q159"/>
    <mergeCell ref="AD83:AG83"/>
    <mergeCell ref="F115:G115"/>
    <mergeCell ref="E167:G167"/>
    <mergeCell ref="E168:G168"/>
    <mergeCell ref="E163:G163"/>
    <mergeCell ref="E164:G164"/>
    <mergeCell ref="E165:G165"/>
    <mergeCell ref="E166:G166"/>
    <mergeCell ref="F153:G155"/>
    <mergeCell ref="F157:G157"/>
    <mergeCell ref="H5:I5"/>
    <mergeCell ref="C6:F6"/>
    <mergeCell ref="H6:I6"/>
    <mergeCell ref="F89:G89"/>
    <mergeCell ref="F90:G90"/>
    <mergeCell ref="F143:G145"/>
    <mergeCell ref="F147:G147"/>
    <mergeCell ref="F152:G152"/>
    <mergeCell ref="F127:G127"/>
    <mergeCell ref="F128:G128"/>
    <mergeCell ref="F132:G132"/>
    <mergeCell ref="F148:G150"/>
    <mergeCell ref="F133:G133"/>
    <mergeCell ref="F137:G137"/>
    <mergeCell ref="F138:G138"/>
    <mergeCell ref="F142:G142"/>
    <mergeCell ref="F117:G117"/>
    <mergeCell ref="F118:G118"/>
    <mergeCell ref="F122:G122"/>
    <mergeCell ref="F123:G123"/>
    <mergeCell ref="F95:G95"/>
    <mergeCell ref="F109:G109"/>
    <mergeCell ref="F110:G110"/>
    <mergeCell ref="F114:G114"/>
    <mergeCell ref="F96:G96"/>
    <mergeCell ref="F97:G97"/>
    <mergeCell ref="F98:G98"/>
    <mergeCell ref="F102:G102"/>
    <mergeCell ref="C73:F73"/>
    <mergeCell ref="F91:G91"/>
    <mergeCell ref="F92:G92"/>
    <mergeCell ref="F93:G93"/>
    <mergeCell ref="C79:F79"/>
    <mergeCell ref="M74:P74"/>
    <mergeCell ref="M75:P75"/>
    <mergeCell ref="F88:G88"/>
    <mergeCell ref="C81:F81"/>
    <mergeCell ref="G78:K81"/>
    <mergeCell ref="C80:F80"/>
    <mergeCell ref="F87:G87"/>
    <mergeCell ref="F85:G85"/>
    <mergeCell ref="C77:H77"/>
    <mergeCell ref="C75:F75"/>
    <mergeCell ref="C7:F7"/>
    <mergeCell ref="F29:F37"/>
    <mergeCell ref="F38:F41"/>
    <mergeCell ref="H44:N44"/>
    <mergeCell ref="H28:N28"/>
    <mergeCell ref="B23:K23"/>
    <mergeCell ref="H8:L8"/>
    <mergeCell ref="M9:N9"/>
    <mergeCell ref="H7:I7"/>
    <mergeCell ref="D10:N10"/>
    <mergeCell ref="M73:P73"/>
    <mergeCell ref="F14:G14"/>
    <mergeCell ref="M7:N7"/>
    <mergeCell ref="F17:G17"/>
    <mergeCell ref="C71:H71"/>
    <mergeCell ref="G72:K75"/>
    <mergeCell ref="F45:F69"/>
    <mergeCell ref="M45:M69"/>
    <mergeCell ref="C8:F8"/>
    <mergeCell ref="H9:I9"/>
    <mergeCell ref="J4:M4"/>
    <mergeCell ref="F11:G11"/>
    <mergeCell ref="B22:N22"/>
    <mergeCell ref="F12:G12"/>
    <mergeCell ref="F15:G15"/>
    <mergeCell ref="F16:G16"/>
    <mergeCell ref="F13:G13"/>
    <mergeCell ref="J9:L9"/>
    <mergeCell ref="J6:L6"/>
    <mergeCell ref="J7:L7"/>
    <mergeCell ref="C9:F9"/>
    <mergeCell ref="L26:N26"/>
    <mergeCell ref="C24:D24"/>
    <mergeCell ref="F18:G18"/>
    <mergeCell ref="F19:G19"/>
    <mergeCell ref="F20:G20"/>
    <mergeCell ref="F21:G21"/>
    <mergeCell ref="O1:O25"/>
    <mergeCell ref="Q72:V75"/>
    <mergeCell ref="B2:N2"/>
    <mergeCell ref="C3:F3"/>
    <mergeCell ref="C4:F4"/>
    <mergeCell ref="C5:F5"/>
    <mergeCell ref="J5:M5"/>
    <mergeCell ref="L3:M3"/>
    <mergeCell ref="H3:K3"/>
    <mergeCell ref="L23:N23"/>
    <mergeCell ref="E161:G161"/>
    <mergeCell ref="E162:G162"/>
    <mergeCell ref="M71:Q71"/>
    <mergeCell ref="M77:Q77"/>
    <mergeCell ref="M79:P79"/>
    <mergeCell ref="M80:P80"/>
    <mergeCell ref="M81:P81"/>
    <mergeCell ref="Q78:V81"/>
    <mergeCell ref="F86:G86"/>
    <mergeCell ref="C74:F74"/>
    <mergeCell ref="E193:G193"/>
    <mergeCell ref="E199:G199"/>
    <mergeCell ref="E169:G169"/>
    <mergeCell ref="E170:G170"/>
    <mergeCell ref="E181:G181"/>
    <mergeCell ref="E187:G187"/>
    <mergeCell ref="E207:G207"/>
    <mergeCell ref="E209:G209"/>
    <mergeCell ref="E212:G212"/>
    <mergeCell ref="E210:G210"/>
    <mergeCell ref="E211:G211"/>
    <mergeCell ref="E217:G217"/>
    <mergeCell ref="E218:G218"/>
    <mergeCell ref="E220:G220"/>
    <mergeCell ref="E219:G219"/>
    <mergeCell ref="E237:F237"/>
    <mergeCell ref="E236:F236"/>
    <mergeCell ref="E225:G225"/>
    <mergeCell ref="E226:G226"/>
    <mergeCell ref="E231:G231"/>
    <mergeCell ref="E232:G232"/>
  </mergeCells>
  <conditionalFormatting sqref="R13">
    <cfRule type="expression" priority="7" dxfId="0">
      <formula>$C$13=" "</formula>
    </cfRule>
  </conditionalFormatting>
  <conditionalFormatting sqref="R14">
    <cfRule type="expression" priority="6" dxfId="0">
      <formula>$C$14=" "</formula>
    </cfRule>
  </conditionalFormatting>
  <conditionalFormatting sqref="R15">
    <cfRule type="expression" priority="5" dxfId="0">
      <formula>$C$15=" "</formula>
    </cfRule>
  </conditionalFormatting>
  <conditionalFormatting sqref="R16:R21">
    <cfRule type="expression" priority="4" dxfId="0">
      <formula>$C$16=" "</formula>
    </cfRule>
  </conditionalFormatting>
  <conditionalFormatting sqref="B18:N18">
    <cfRule type="expression" priority="5" dxfId="15" stopIfTrue="1">
      <formula>$AA$176=1</formula>
    </cfRule>
  </conditionalFormatting>
  <conditionalFormatting sqref="B12:N12">
    <cfRule type="expression" priority="6" dxfId="15" stopIfTrue="1">
      <formula>$U$176=1</formula>
    </cfRule>
  </conditionalFormatting>
  <conditionalFormatting sqref="B13:N13">
    <cfRule type="expression" priority="7" dxfId="15" stopIfTrue="1">
      <formula>$V$176=1</formula>
    </cfRule>
  </conditionalFormatting>
  <conditionalFormatting sqref="B14:N14">
    <cfRule type="expression" priority="8" dxfId="15" stopIfTrue="1">
      <formula>$W$176=1</formula>
    </cfRule>
  </conditionalFormatting>
  <conditionalFormatting sqref="B15:N15">
    <cfRule type="expression" priority="9" dxfId="15" stopIfTrue="1">
      <formula>$X$176=1</formula>
    </cfRule>
  </conditionalFormatting>
  <conditionalFormatting sqref="B16:N16">
    <cfRule type="expression" priority="10" dxfId="15" stopIfTrue="1">
      <formula>$Y$176=1</formula>
    </cfRule>
  </conditionalFormatting>
  <conditionalFormatting sqref="B17:N17">
    <cfRule type="expression" priority="11" dxfId="15" stopIfTrue="1">
      <formula>$Z$176=1</formula>
    </cfRule>
  </conditionalFormatting>
  <conditionalFormatting sqref="B19:N19">
    <cfRule type="expression" priority="12" dxfId="15" stopIfTrue="1">
      <formula>$AB$176=1</formula>
    </cfRule>
  </conditionalFormatting>
  <conditionalFormatting sqref="B20:N20">
    <cfRule type="expression" priority="13" dxfId="15" stopIfTrue="1">
      <formula>$AC$176=1</formula>
    </cfRule>
  </conditionalFormatting>
  <conditionalFormatting sqref="B21:N21">
    <cfRule type="expression" priority="14" dxfId="15" stopIfTrue="1">
      <formula>$AD$176=1</formula>
    </cfRule>
  </conditionalFormatting>
  <dataValidations count="2">
    <dataValidation allowBlank="1" showInputMessage="1" showErrorMessage="1" prompt="Option change is not permitted in the  GO(P)No.58/2012/Fin Dated 19/01/2012. This link will be available soon. " sqref="R13:R21"/>
    <dataValidation allowBlank="1" showInputMessage="1" showErrorMessage="1" prompt="Arrear amount will be available in the final version" sqref="N12:N21"/>
  </dataValidations>
  <hyperlinks>
    <hyperlink ref="C24:D24" location="Home!A1" display="Home"/>
  </hyperlinks>
  <printOptions horizontalCentered="1" verticalCentered="1"/>
  <pageMargins left="0.35" right="0.22" top="0.24" bottom="0.19" header="0.34" footer="0.14"/>
  <pageSetup fitToHeight="1" fitToWidth="1" horizontalDpi="600" verticalDpi="600" orientation="landscape" paperSize="9" scale="92" r:id="rId1"/>
  <headerFooter alignWithMargins="0">
    <oddFooter>&amp;CKWA Option Finder Final 1.5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Aneeq</dc:creator>
  <cp:keywords/>
  <dc:description/>
  <cp:lastModifiedBy>Aneeq</cp:lastModifiedBy>
  <cp:lastPrinted>2012-04-09T02:16:33Z</cp:lastPrinted>
  <dcterms:created xsi:type="dcterms:W3CDTF">2012-01-31T07:26:01Z</dcterms:created>
  <dcterms:modified xsi:type="dcterms:W3CDTF">2012-04-09T02:49:02Z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